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575" activeTab="1"/>
  </bookViews>
  <sheets>
    <sheet name="Liquid Sizing" sheetId="1" r:id="rId1"/>
    <sheet name="Gas Sizing" sheetId="2" r:id="rId2"/>
    <sheet name="Datasheet" sheetId="3" r:id="rId3"/>
  </sheets>
  <definedNames>
    <definedName name="_xlnm.Print_Area" localSheetId="1">'Gas Sizing'!$A$1:$G$33</definedName>
    <definedName name="_xlnm.Print_Area" localSheetId="0">'Liquid Sizing'!$A$1:$G$30</definedName>
  </definedNames>
  <calcPr fullCalcOnLoad="1"/>
</workbook>
</file>

<file path=xl/comments3.xml><?xml version="1.0" encoding="utf-8"?>
<comments xmlns="http://schemas.openxmlformats.org/spreadsheetml/2006/main">
  <authors>
    <author>Serge Trudel</author>
    <author> st</author>
  </authors>
  <commentList>
    <comment ref="A31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Pipe schedule and Diameters for velocity calc
</t>
        </r>
      </text>
    </comment>
    <comment ref="A26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Preliminary sizing</t>
        </r>
      </text>
    </comment>
    <comment ref="A40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Pipe material</t>
        </r>
      </text>
    </comment>
    <comment ref="A73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Preliminary sizing with spring</t>
        </r>
      </text>
    </comment>
    <comment ref="A78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Selected Pipe Diameter for velocity calc
</t>
        </r>
      </text>
    </comment>
    <comment ref="A88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Pipe material</t>
        </r>
      </text>
    </comment>
    <comment ref="A29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Line size selected only used to calc line velocity not used to estimate valve internal velocity</t>
        </r>
      </text>
    </comment>
    <comment ref="A27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CV of preliminairy sizing</t>
        </r>
      </text>
    </comment>
    <comment ref="A28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DP of valve AT MIN PROCESS FLOW with proposed valve</t>
        </r>
      </text>
    </comment>
    <comment ref="B40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material chosen row index</t>
        </r>
      </text>
    </comment>
    <comment ref="A76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Line size selected only used to calc line velocity not used to estimate valve internal velocity</t>
        </r>
      </text>
    </comment>
    <comment ref="A77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Index for chosen size</t>
        </r>
      </text>
    </comment>
    <comment ref="E73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Choice of spring or not</t>
        </r>
      </text>
    </comment>
    <comment ref="C73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Sizing without spring</t>
        </r>
      </text>
    </comment>
    <comment ref="N100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in lb/cu ft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 st:</t>
        </r>
        <r>
          <rPr>
            <sz val="8"/>
            <rFont val="Tahoma"/>
            <family val="0"/>
          </rPr>
          <t xml:space="preserve">
CV for SA or choked 45 deg
</t>
        </r>
      </text>
    </comment>
    <comment ref="R141" authorId="1">
      <text>
        <r>
          <rPr>
            <b/>
            <sz val="8"/>
            <rFont val="Tahoma"/>
            <family val="0"/>
          </rPr>
          <t xml:space="preserve"> st:</t>
        </r>
        <r>
          <rPr>
            <sz val="8"/>
            <rFont val="Tahoma"/>
            <family val="0"/>
          </rPr>
          <t xml:space="preserve">
Vapor Pressure at Std. Conditions</t>
        </r>
      </text>
    </comment>
    <comment ref="B73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Preliminary sizing with light spring</t>
        </r>
      </text>
    </comment>
    <comment ref="B78" authorId="0">
      <text>
        <r>
          <rPr>
            <b/>
            <sz val="8"/>
            <rFont val="Tahoma"/>
            <family val="0"/>
          </rPr>
          <t>Serge Trudel:</t>
        </r>
        <r>
          <rPr>
            <sz val="8"/>
            <rFont val="Tahoma"/>
            <family val="0"/>
          </rPr>
          <t xml:space="preserve">
Port ID based on selected pipe/valve size</t>
        </r>
      </text>
    </comment>
    <comment ref="B26" authorId="1">
      <text>
        <r>
          <rPr>
            <b/>
            <sz val="8"/>
            <rFont val="Tahoma"/>
            <family val="0"/>
          </rPr>
          <t xml:space="preserve"> st:</t>
        </r>
        <r>
          <rPr>
            <sz val="8"/>
            <rFont val="Tahoma"/>
            <family val="0"/>
          </rPr>
          <t xml:space="preserve">
Selected std or 45</t>
        </r>
      </text>
    </comment>
  </commentList>
</comments>
</file>

<file path=xl/sharedStrings.xml><?xml version="1.0" encoding="utf-8"?>
<sst xmlns="http://schemas.openxmlformats.org/spreadsheetml/2006/main" count="626" uniqueCount="186">
  <si>
    <t>Min Flow Rate</t>
  </si>
  <si>
    <t>Max Flow Rate</t>
  </si>
  <si>
    <t>Media</t>
  </si>
  <si>
    <t>Line size</t>
  </si>
  <si>
    <t>Suggested Valve Sizing</t>
  </si>
  <si>
    <t>Valve Size</t>
  </si>
  <si>
    <t>Valve CV</t>
  </si>
  <si>
    <t>Specific Gravity</t>
  </si>
  <si>
    <t>Temperature</t>
  </si>
  <si>
    <t>SIZE</t>
  </si>
  <si>
    <t>CV</t>
  </si>
  <si>
    <t>DP FULL OPEN</t>
  </si>
  <si>
    <t>DP FULL OPEN LS</t>
  </si>
  <si>
    <t>DP of valve AT MIN PROCESS FLOW</t>
  </si>
  <si>
    <t>VALVE ACCEPTABLE</t>
  </si>
  <si>
    <t>DP at Min Flow</t>
  </si>
  <si>
    <t>DP at Max Flow</t>
  </si>
  <si>
    <t>Inches</t>
  </si>
  <si>
    <t>PSI</t>
  </si>
  <si>
    <t>Pipe Schedule</t>
  </si>
  <si>
    <t>Installation requirements;</t>
  </si>
  <si>
    <t>VALVE ACCEPTABLE LS</t>
  </si>
  <si>
    <t>2- This sizing is based on largest full open valve size for the minimum flow</t>
  </si>
  <si>
    <t>Pipe Material</t>
  </si>
  <si>
    <t>Stainless Steel</t>
  </si>
  <si>
    <t>Carbon Steel</t>
  </si>
  <si>
    <t>FRP</t>
  </si>
  <si>
    <t>PVC</t>
  </si>
  <si>
    <t>Material</t>
  </si>
  <si>
    <t>Schedule</t>
  </si>
  <si>
    <t>Pipe ID</t>
  </si>
  <si>
    <t>Sched 10</t>
  </si>
  <si>
    <t>Sched 40</t>
  </si>
  <si>
    <t>Sched 80</t>
  </si>
  <si>
    <t>USGPM</t>
  </si>
  <si>
    <t xml:space="preserve"> </t>
  </si>
  <si>
    <t>Air</t>
  </si>
  <si>
    <t>Index</t>
  </si>
  <si>
    <t>Inlet Pressure</t>
  </si>
  <si>
    <t>PSIA</t>
  </si>
  <si>
    <t>Input Values</t>
  </si>
  <si>
    <t>FT/S</t>
  </si>
  <si>
    <t>With</t>
  </si>
  <si>
    <t>Without</t>
  </si>
  <si>
    <t>INPUT VALUES</t>
  </si>
  <si>
    <t>Liquid</t>
  </si>
  <si>
    <t>Valve</t>
  </si>
  <si>
    <t>Internal Spring</t>
  </si>
  <si>
    <t>Manual Input</t>
  </si>
  <si>
    <t>gas v=3.057*Q/d^2</t>
  </si>
  <si>
    <t>v=ft/s Q=cfm d=in</t>
  </si>
  <si>
    <t>SCFH</t>
  </si>
  <si>
    <t>Line Velocity at Min Flow</t>
  </si>
  <si>
    <t>LineVelocity at Max Flow</t>
  </si>
  <si>
    <t>Mach #</t>
  </si>
  <si>
    <t>Mach Number for gas = Qa /( 5574 * Av * sqrt( k  * T / Mw )</t>
  </si>
  <si>
    <t>Qa = Flow Rate in cfh</t>
  </si>
  <si>
    <t>Av = Port Area in2</t>
  </si>
  <si>
    <t>T = Renkin</t>
  </si>
  <si>
    <t>Customer Input Values</t>
  </si>
  <si>
    <t>Ratio Specific heat</t>
  </si>
  <si>
    <t>Mol weight</t>
  </si>
  <si>
    <t>Inch</t>
  </si>
  <si>
    <t>KPA</t>
  </si>
  <si>
    <r>
      <t>kg/cm</t>
    </r>
    <r>
      <rPr>
        <vertAlign val="superscript"/>
        <sz val="10"/>
        <rFont val="Arial"/>
        <family val="2"/>
      </rPr>
      <t>2</t>
    </r>
  </si>
  <si>
    <t>Lb/hr</t>
  </si>
  <si>
    <t>Kg/Hr</t>
  </si>
  <si>
    <t>Lb/Sec</t>
  </si>
  <si>
    <t>SCFM</t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</si>
  <si>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/hr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</si>
  <si>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/sec</t>
    </r>
  </si>
  <si>
    <t>R</t>
  </si>
  <si>
    <r>
      <t>o</t>
    </r>
    <r>
      <rPr>
        <sz val="10"/>
        <rFont val="Arial"/>
        <family val="0"/>
      </rPr>
      <t>C</t>
    </r>
  </si>
  <si>
    <t>Gas</t>
  </si>
  <si>
    <t>Other</t>
  </si>
  <si>
    <t>Acetylene</t>
  </si>
  <si>
    <t>Amonia</t>
  </si>
  <si>
    <t>Argon</t>
  </si>
  <si>
    <t>Butane</t>
  </si>
  <si>
    <t>Carbon Dioxide</t>
  </si>
  <si>
    <t>Chlorine</t>
  </si>
  <si>
    <t xml:space="preserve">Ethane </t>
  </si>
  <si>
    <t>Ethylene</t>
  </si>
  <si>
    <t>Hydrogen Chloride</t>
  </si>
  <si>
    <t>Hydrogen</t>
  </si>
  <si>
    <t>Methane</t>
  </si>
  <si>
    <t>Natural Gas</t>
  </si>
  <si>
    <t>Nitrogen</t>
  </si>
  <si>
    <t>Oxygen</t>
  </si>
  <si>
    <t>Propane</t>
  </si>
  <si>
    <t>Propylene</t>
  </si>
  <si>
    <t>Sulphur Dioxyde</t>
  </si>
  <si>
    <t>Density lb/cuft</t>
  </si>
  <si>
    <t>Sg</t>
  </si>
  <si>
    <t>UNITS</t>
  </si>
  <si>
    <t>PSIG</t>
  </si>
  <si>
    <t>Bar G</t>
  </si>
  <si>
    <t>Bar Abs</t>
  </si>
  <si>
    <t>Do Not Change</t>
  </si>
  <si>
    <t>N/A</t>
  </si>
  <si>
    <t>Gas Properties</t>
  </si>
  <si>
    <t>Selected gas</t>
  </si>
  <si>
    <r>
      <t>o</t>
    </r>
    <r>
      <rPr>
        <sz val="10"/>
        <rFont val="Arial"/>
        <family val="2"/>
      </rPr>
      <t>F</t>
    </r>
  </si>
  <si>
    <t>Max Flow SCFH</t>
  </si>
  <si>
    <t>Min Flow SCFH</t>
  </si>
  <si>
    <t>pressure PSIA</t>
  </si>
  <si>
    <r>
      <t xml:space="preserve">Temp in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</t>
    </r>
  </si>
  <si>
    <t>Mw = molecular weight of gas</t>
  </si>
  <si>
    <t>k = Ratio of specific heats k= cp/cv</t>
  </si>
  <si>
    <t>Suggested Maximum Valve Size</t>
  </si>
  <si>
    <t>1- Insure a minimum of 5 straight diameters upstream and 3 downstream of the valve</t>
  </si>
  <si>
    <t>2- The suggested sizing is based on largest full open valve size for the minimum flow, use manual input to select smaller size</t>
  </si>
  <si>
    <r>
      <t>o</t>
    </r>
    <r>
      <rPr>
        <sz val="10"/>
        <rFont val="Arial"/>
        <family val="0"/>
      </rPr>
      <t>R</t>
    </r>
  </si>
  <si>
    <t>Valve Model</t>
  </si>
  <si>
    <t>CV SA</t>
  </si>
  <si>
    <t>Standard</t>
  </si>
  <si>
    <t>SA or Choked 45 deg.</t>
  </si>
  <si>
    <t>Mw</t>
  </si>
  <si>
    <t>k</t>
  </si>
  <si>
    <t>Min Flow in CFH</t>
  </si>
  <si>
    <t>Max Flow in CFH</t>
  </si>
  <si>
    <t>For Mach Calculation</t>
  </si>
  <si>
    <t>Check Valve or line size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</si>
  <si>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/hr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</si>
  <si>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/sec</t>
    </r>
  </si>
  <si>
    <t>1- Insure a minimum of 5 straight diameters upstream and 3 downstream the valve</t>
  </si>
  <si>
    <t>Liquid Unit Input</t>
  </si>
  <si>
    <t>Gas Units Inputs</t>
  </si>
  <si>
    <t>From</t>
  </si>
  <si>
    <t>Bar A</t>
  </si>
  <si>
    <t>LPM</t>
  </si>
  <si>
    <t>LPS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</si>
  <si>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</t>
    </r>
  </si>
  <si>
    <t>Min flow USGPM</t>
  </si>
  <si>
    <t>Max Flow USGPM</t>
  </si>
  <si>
    <t>Liquid Properties</t>
  </si>
  <si>
    <t>Selected Liquid</t>
  </si>
  <si>
    <t>Water</t>
  </si>
  <si>
    <t>Vapor Pressure</t>
  </si>
  <si>
    <t>Vapor P. PSIA</t>
  </si>
  <si>
    <t>h</t>
  </si>
  <si>
    <t>DP at Min Flow in PSI</t>
  </si>
  <si>
    <t>DP at Max Flow in PSI</t>
  </si>
  <si>
    <t>Liquid Calculations</t>
  </si>
  <si>
    <t>Valve Data</t>
  </si>
  <si>
    <t>Review</t>
  </si>
  <si>
    <t>Alcool Met.</t>
  </si>
  <si>
    <t>Citric Acid</t>
  </si>
  <si>
    <t>Glycol</t>
  </si>
  <si>
    <t>Ferric Chloride 25%</t>
  </si>
  <si>
    <t>Nitric Acid</t>
  </si>
  <si>
    <t>Oil Vegetable</t>
  </si>
  <si>
    <t>Phosphoric Acid</t>
  </si>
  <si>
    <t>Sodium Chloride</t>
  </si>
  <si>
    <t>Sodium Hydroxide</t>
  </si>
  <si>
    <t>Sodium Sulfate</t>
  </si>
  <si>
    <t>Starch</t>
  </si>
  <si>
    <t>Sulfuric Acid</t>
  </si>
  <si>
    <t>Gasoline</t>
  </si>
  <si>
    <t>Kerosene</t>
  </si>
  <si>
    <t>customer Input Values</t>
  </si>
  <si>
    <t>Line size Inches</t>
  </si>
  <si>
    <t>Temp in C</t>
  </si>
  <si>
    <t>Vapor Pressure portion P</t>
  </si>
  <si>
    <t>Dry air pressure portion P</t>
  </si>
  <si>
    <t>KG/M3</t>
  </si>
  <si>
    <t>Actual Density correction for RH</t>
  </si>
  <si>
    <t>Actual Asssumed Dry Density</t>
  </si>
  <si>
    <t>Correction factor for SG of moist air</t>
  </si>
  <si>
    <t>CFH</t>
  </si>
  <si>
    <t>CFM</t>
  </si>
  <si>
    <t>EtOH</t>
  </si>
  <si>
    <t>INRU feed</t>
  </si>
  <si>
    <t>DP FULL OPEN LIGHT</t>
  </si>
  <si>
    <t>Light</t>
  </si>
  <si>
    <t>VALVE ACCEPTABLE LIGHT</t>
  </si>
  <si>
    <t>Port Area sqr in</t>
  </si>
  <si>
    <t>Checksum</t>
  </si>
  <si>
    <t>Unknown</t>
  </si>
  <si>
    <t>DATE:</t>
  </si>
  <si>
    <t>TAG NUMBER:</t>
  </si>
  <si>
    <t>PROJECT:</t>
  </si>
  <si>
    <t>CUSTOMER:</t>
  </si>
  <si>
    <t>Version 1.13 Beta</t>
  </si>
  <si>
    <t>Media Other</t>
  </si>
  <si>
    <t>Version 1.14 Beta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</si>
</sst>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#\ ?/2"/>
    <numFmt numFmtId="176" formatCode="0.0"/>
    <numFmt numFmtId="177" formatCode="0.00000000"/>
    <numFmt numFmtId="178" formatCode="0.0000000"/>
    <numFmt numFmtId="179" formatCode="0.000000"/>
    <numFmt numFmtId="180" formatCode="0.00000000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dddd\,\ mmmm\ dd\,\ yyyy"/>
  </numFmts>
  <fonts count="1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24"/>
      <color indexed="12"/>
      <name val="Copperplate Gothic Bold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4" borderId="9" xfId="0" applyFill="1" applyBorder="1" applyAlignment="1">
      <alignment/>
    </xf>
    <xf numFmtId="0" fontId="0" fillId="0" borderId="12" xfId="0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73" fontId="0" fillId="0" borderId="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7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5" borderId="0" xfId="0" applyFill="1" applyBorder="1" applyAlignment="1">
      <alignment/>
    </xf>
    <xf numFmtId="174" fontId="0" fillId="0" borderId="1" xfId="0" applyNumberFormat="1" applyBorder="1" applyAlignment="1">
      <alignment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" xfId="0" applyNumberFormat="1" applyFill="1" applyBorder="1" applyAlignment="1">
      <alignment/>
    </xf>
    <xf numFmtId="174" fontId="0" fillId="0" borderId="1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4" fillId="0" borderId="8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" fontId="9" fillId="0" borderId="5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175" fontId="0" fillId="2" borderId="0" xfId="0" applyNumberFormat="1" applyFill="1" applyBorder="1" applyAlignment="1">
      <alignment/>
    </xf>
    <xf numFmtId="175" fontId="0" fillId="5" borderId="0" xfId="0" applyNumberFormat="1" applyFill="1" applyBorder="1" applyAlignment="1">
      <alignment/>
    </xf>
    <xf numFmtId="175" fontId="0" fillId="2" borderId="24" xfId="0" applyNumberFormat="1" applyFill="1" applyBorder="1" applyAlignment="1">
      <alignment/>
    </xf>
    <xf numFmtId="175" fontId="0" fillId="5" borderId="24" xfId="0" applyNumberFormat="1" applyFill="1" applyBorder="1" applyAlignment="1">
      <alignment/>
    </xf>
    <xf numFmtId="0" fontId="0" fillId="5" borderId="24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Fill="1" applyBorder="1" applyAlignment="1">
      <alignment/>
    </xf>
    <xf numFmtId="175" fontId="0" fillId="0" borderId="0" xfId="0" applyNumberFormat="1" applyFill="1" applyBorder="1" applyAlignment="1">
      <alignment/>
    </xf>
    <xf numFmtId="176" fontId="4" fillId="5" borderId="8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/>
    </xf>
    <xf numFmtId="0" fontId="4" fillId="2" borderId="17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16" fontId="0" fillId="0" borderId="0" xfId="0" applyNumberFormat="1" applyAlignment="1">
      <alignment/>
    </xf>
    <xf numFmtId="173" fontId="0" fillId="5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4" fillId="5" borderId="32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2" fontId="0" fillId="5" borderId="0" xfId="0" applyNumberFormat="1" applyFill="1" applyBorder="1" applyAlignment="1">
      <alignment/>
    </xf>
    <xf numFmtId="175" fontId="0" fillId="6" borderId="34" xfId="0" applyNumberFormat="1" applyFill="1" applyBorder="1" applyAlignment="1">
      <alignment/>
    </xf>
    <xf numFmtId="175" fontId="0" fillId="6" borderId="7" xfId="0" applyNumberFormat="1" applyFill="1" applyBorder="1" applyAlignment="1">
      <alignment/>
    </xf>
    <xf numFmtId="0" fontId="0" fillId="6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4" fillId="7" borderId="1" xfId="0" applyNumberFormat="1" applyFont="1" applyFill="1" applyBorder="1" applyAlignment="1" applyProtection="1">
      <alignment/>
      <protection locked="0"/>
    </xf>
    <xf numFmtId="181" fontId="4" fillId="7" borderId="1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7" borderId="9" xfId="0" applyFont="1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8" borderId="17" xfId="0" applyFill="1" applyBorder="1" applyAlignment="1" applyProtection="1">
      <alignment/>
      <protection locked="0"/>
    </xf>
    <xf numFmtId="0" fontId="0" fillId="0" borderId="37" xfId="0" applyFill="1" applyBorder="1" applyAlignment="1">
      <alignment horizontal="center"/>
    </xf>
    <xf numFmtId="0" fontId="4" fillId="4" borderId="20" xfId="0" applyFont="1" applyFill="1" applyBorder="1" applyAlignment="1" applyProtection="1">
      <alignment/>
      <protection locked="0"/>
    </xf>
    <xf numFmtId="2" fontId="4" fillId="2" borderId="23" xfId="0" applyNumberFormat="1" applyFont="1" applyFill="1" applyBorder="1" applyAlignment="1">
      <alignment/>
    </xf>
    <xf numFmtId="0" fontId="0" fillId="6" borderId="0" xfId="0" applyFill="1" applyAlignment="1">
      <alignment/>
    </xf>
    <xf numFmtId="2" fontId="10" fillId="0" borderId="1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right"/>
    </xf>
    <xf numFmtId="0" fontId="0" fillId="6" borderId="0" xfId="0" applyFill="1" applyAlignment="1">
      <alignment horizontal="center"/>
    </xf>
    <xf numFmtId="0" fontId="0" fillId="6" borderId="34" xfId="0" applyFill="1" applyBorder="1" applyAlignment="1">
      <alignment/>
    </xf>
    <xf numFmtId="174" fontId="0" fillId="6" borderId="7" xfId="0" applyNumberFormat="1" applyFill="1" applyBorder="1" applyAlignment="1">
      <alignment/>
    </xf>
    <xf numFmtId="2" fontId="0" fillId="6" borderId="7" xfId="0" applyNumberFormat="1" applyFill="1" applyBorder="1" applyAlignment="1">
      <alignment/>
    </xf>
    <xf numFmtId="0" fontId="4" fillId="6" borderId="21" xfId="0" applyFont="1" applyFill="1" applyBorder="1" applyAlignment="1">
      <alignment/>
    </xf>
    <xf numFmtId="0" fontId="4" fillId="6" borderId="29" xfId="0" applyFont="1" applyFill="1" applyBorder="1" applyAlignment="1">
      <alignment/>
    </xf>
    <xf numFmtId="0" fontId="0" fillId="6" borderId="19" xfId="0" applyFill="1" applyBorder="1" applyAlignment="1">
      <alignment/>
    </xf>
    <xf numFmtId="0" fontId="0" fillId="6" borderId="7" xfId="0" applyFill="1" applyBorder="1" applyAlignment="1">
      <alignment/>
    </xf>
    <xf numFmtId="2" fontId="0" fillId="6" borderId="0" xfId="0" applyNumberFormat="1" applyFill="1" applyAlignment="1">
      <alignment/>
    </xf>
    <xf numFmtId="0" fontId="0" fillId="5" borderId="0" xfId="0" applyFill="1" applyAlignment="1">
      <alignment/>
    </xf>
    <xf numFmtId="174" fontId="0" fillId="5" borderId="0" xfId="0" applyNumberFormat="1" applyFill="1" applyBorder="1" applyAlignment="1">
      <alignment/>
    </xf>
    <xf numFmtId="174" fontId="0" fillId="5" borderId="24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27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0" fontId="0" fillId="0" borderId="36" xfId="0" applyBorder="1" applyAlignment="1">
      <alignment/>
    </xf>
    <xf numFmtId="1" fontId="4" fillId="2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7" borderId="42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>
      <alignment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/>
    </xf>
    <xf numFmtId="2" fontId="10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3" fontId="4" fillId="0" borderId="1" xfId="0" applyNumberFormat="1" applyFont="1" applyFill="1" applyBorder="1" applyAlignment="1" applyProtection="1">
      <alignment/>
      <protection locked="0"/>
    </xf>
    <xf numFmtId="0" fontId="0" fillId="6" borderId="22" xfId="0" applyFill="1" applyBorder="1" applyAlignment="1">
      <alignment/>
    </xf>
    <xf numFmtId="0" fontId="0" fillId="6" borderId="20" xfId="0" applyFill="1" applyBorder="1" applyAlignment="1">
      <alignment/>
    </xf>
    <xf numFmtId="175" fontId="0" fillId="0" borderId="27" xfId="0" applyNumberFormat="1" applyBorder="1" applyAlignment="1">
      <alignment/>
    </xf>
    <xf numFmtId="0" fontId="0" fillId="6" borderId="29" xfId="0" applyFill="1" applyBorder="1" applyAlignment="1">
      <alignment/>
    </xf>
    <xf numFmtId="0" fontId="4" fillId="6" borderId="19" xfId="0" applyFont="1" applyFill="1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0" fontId="0" fillId="6" borderId="21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31" xfId="0" applyFill="1" applyBorder="1" applyAlignment="1">
      <alignment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36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4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6" borderId="21" xfId="0" applyNumberFormat="1" applyFill="1" applyBorder="1" applyAlignment="1">
      <alignment/>
    </xf>
    <xf numFmtId="12" fontId="4" fillId="2" borderId="46" xfId="0" applyNumberFormat="1" applyFont="1" applyFill="1" applyBorder="1" applyAlignment="1">
      <alignment horizontal="center"/>
    </xf>
    <xf numFmtId="12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0" fontId="9" fillId="0" borderId="38" xfId="0" applyFont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7" borderId="17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152400</xdr:rowOff>
    </xdr:from>
    <xdr:to>
      <xdr:col>3</xdr:col>
      <xdr:colOff>457200</xdr:colOff>
      <xdr:row>1</xdr:row>
      <xdr:rowOff>1485900</xdr:rowOff>
    </xdr:to>
    <xdr:sp>
      <xdr:nvSpPr>
        <xdr:cNvPr id="1" name="AutoShape 10"/>
        <xdr:cNvSpPr>
          <a:spLocks/>
        </xdr:cNvSpPr>
      </xdr:nvSpPr>
      <xdr:spPr>
        <a:xfrm>
          <a:off x="66675" y="1114425"/>
          <a:ext cx="4048125" cy="1333500"/>
        </a:xfrm>
        <a:prstGeom prst="rect"/>
        <a:noFill/>
      </xdr:spPr>
      <xdr:txBody>
        <a:bodyPr fromWordArt="1" wrap="none">
          <a:prstTxWarp prst="textPlain">
            <a:avLst>
              <a:gd name="adj" fmla="val 47597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l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2700000" scaled="1"/>
              </a:gradFill>
              <a:latin typeface="Garamond"/>
              <a:cs typeface="Garamond"/>
            </a:rPr>
            <a:t>CheckSize
Liquid Sizing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219075</xdr:rowOff>
    </xdr:from>
    <xdr:to>
      <xdr:col>3</xdr:col>
      <xdr:colOff>114300</xdr:colOff>
      <xdr:row>1</xdr:row>
      <xdr:rowOff>1438275</xdr:rowOff>
    </xdr:to>
    <xdr:sp>
      <xdr:nvSpPr>
        <xdr:cNvPr id="1" name="AutoShape 8"/>
        <xdr:cNvSpPr>
          <a:spLocks noChangeAspect="1"/>
        </xdr:cNvSpPr>
      </xdr:nvSpPr>
      <xdr:spPr>
        <a:xfrm>
          <a:off x="57150" y="1181100"/>
          <a:ext cx="3714750" cy="1219200"/>
        </a:xfrm>
        <a:prstGeom prst="rect"/>
        <a:noFill/>
      </xdr:spPr>
      <xdr:txBody>
        <a:bodyPr fromWordArt="1" wrap="none">
          <a:prstTxWarp prst="textPlain">
            <a:avLst>
              <a:gd name="adj" fmla="val 47597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l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2700000" scaled="1"/>
              </a:gradFill>
              <a:latin typeface="Garamond"/>
              <a:cs typeface="Garamond"/>
            </a:rPr>
            <a:t>CheckSize 
Gas Sizing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J47"/>
  <sheetViews>
    <sheetView zoomScale="60" zoomScaleNormal="60" workbookViewId="0" topLeftCell="A1">
      <selection activeCell="B12" sqref="B12"/>
    </sheetView>
  </sheetViews>
  <sheetFormatPr defaultColWidth="9.140625" defaultRowHeight="12.75"/>
  <cols>
    <col min="1" max="1" width="20.140625" style="0" customWidth="1"/>
    <col min="2" max="2" width="17.421875" style="0" customWidth="1"/>
    <col min="3" max="3" width="17.28125" style="0" customWidth="1"/>
    <col min="4" max="4" width="22.7109375" style="0" customWidth="1"/>
    <col min="5" max="5" width="17.421875" style="0" customWidth="1"/>
    <col min="7" max="7" width="19.00390625" style="0" bestFit="1" customWidth="1"/>
  </cols>
  <sheetData>
    <row r="1" ht="75.75" customHeight="1"/>
    <row r="2" spans="1:6" ht="121.5" customHeight="1" thickBot="1">
      <c r="A2" s="207"/>
      <c r="B2" s="207"/>
      <c r="C2" s="207"/>
      <c r="D2" s="207"/>
      <c r="E2" s="207"/>
      <c r="F2" s="207"/>
    </row>
    <row r="3" spans="1:10" ht="21.75" customHeight="1" thickBot="1">
      <c r="A3" s="7"/>
      <c r="B3" s="2"/>
      <c r="C3" s="2"/>
      <c r="D3" s="65"/>
      <c r="E3" s="34"/>
      <c r="F3" s="22" t="s">
        <v>59</v>
      </c>
      <c r="G3" s="29"/>
      <c r="H3" s="2"/>
      <c r="I3" s="2"/>
      <c r="J3" s="2"/>
    </row>
    <row r="4" spans="1:10" ht="21.75" customHeight="1" thickBot="1">
      <c r="A4" s="2" t="s">
        <v>183</v>
      </c>
      <c r="B4" s="2"/>
      <c r="C4" s="2"/>
      <c r="E4" s="88"/>
      <c r="F4" s="33" t="s">
        <v>98</v>
      </c>
      <c r="G4" s="29"/>
      <c r="H4" s="2"/>
      <c r="I4" s="2"/>
      <c r="J4" s="2"/>
    </row>
    <row r="5" spans="1:10" ht="21.75" customHeight="1" thickBot="1">
      <c r="A5" s="2"/>
      <c r="B5" s="2"/>
      <c r="C5" s="2"/>
      <c r="E5" s="30"/>
      <c r="F5" s="33" t="s">
        <v>145</v>
      </c>
      <c r="G5" s="29"/>
      <c r="H5" s="2"/>
      <c r="I5" s="2"/>
      <c r="J5" s="2"/>
    </row>
    <row r="6" spans="1:10" ht="21.75" customHeight="1">
      <c r="A6" s="176" t="s">
        <v>182</v>
      </c>
      <c r="B6" s="190"/>
      <c r="C6" s="191"/>
      <c r="G6" s="2"/>
      <c r="H6" s="2"/>
      <c r="I6" s="2"/>
      <c r="J6" s="2"/>
    </row>
    <row r="7" spans="1:10" ht="21.75" customHeight="1">
      <c r="A7" s="177" t="s">
        <v>181</v>
      </c>
      <c r="B7" s="192"/>
      <c r="C7" s="193"/>
      <c r="G7" s="2"/>
      <c r="H7" s="2"/>
      <c r="I7" s="2"/>
      <c r="J7" s="2"/>
    </row>
    <row r="8" spans="1:10" ht="21.75" customHeight="1">
      <c r="A8" s="178" t="s">
        <v>179</v>
      </c>
      <c r="B8" s="175">
        <f ca="1">TODAY()</f>
        <v>39296</v>
      </c>
      <c r="C8" s="193"/>
      <c r="G8" s="2"/>
      <c r="H8" s="2"/>
      <c r="I8" s="2"/>
      <c r="J8" s="2"/>
    </row>
    <row r="9" spans="1:10" ht="21.75" customHeight="1" thickBot="1">
      <c r="A9" s="179" t="s">
        <v>180</v>
      </c>
      <c r="B9" s="194"/>
      <c r="C9" s="195"/>
      <c r="G9" s="2"/>
      <c r="H9" s="2"/>
      <c r="I9" s="2"/>
      <c r="J9" s="2"/>
    </row>
    <row r="10" spans="1:10" ht="21.75" customHeight="1" thickBot="1">
      <c r="A10" s="208" t="s">
        <v>40</v>
      </c>
      <c r="B10" s="209"/>
      <c r="C10" s="210"/>
      <c r="D10" s="211" t="s">
        <v>4</v>
      </c>
      <c r="E10" s="212"/>
      <c r="F10" s="213"/>
      <c r="G10" s="90" t="s">
        <v>48</v>
      </c>
      <c r="H10" s="2"/>
      <c r="I10" s="2"/>
      <c r="J10" s="2"/>
    </row>
    <row r="11" spans="1:4" ht="21.75" customHeight="1" thickBot="1">
      <c r="A11" s="116" t="s">
        <v>2</v>
      </c>
      <c r="B11" s="123"/>
      <c r="C11" s="67" t="s">
        <v>94</v>
      </c>
      <c r="D11" s="107" t="s">
        <v>113</v>
      </c>
    </row>
    <row r="12" spans="1:7" ht="21.75" customHeight="1">
      <c r="A12" s="117" t="s">
        <v>38</v>
      </c>
      <c r="B12" s="124">
        <v>100</v>
      </c>
      <c r="C12" s="12"/>
      <c r="D12" s="108" t="s">
        <v>5</v>
      </c>
      <c r="E12" s="188">
        <f>Datasheet!A26</f>
        <v>2.5</v>
      </c>
      <c r="F12" s="183" t="s">
        <v>17</v>
      </c>
      <c r="G12" s="189">
        <v>2.5</v>
      </c>
    </row>
    <row r="13" spans="1:7" ht="21.75" customHeight="1">
      <c r="A13" s="117" t="s">
        <v>0</v>
      </c>
      <c r="B13" s="124">
        <v>150</v>
      </c>
      <c r="C13" s="12"/>
      <c r="D13" s="109" t="s">
        <v>6</v>
      </c>
      <c r="E13" s="180">
        <f>Datasheet!A27</f>
        <v>137</v>
      </c>
      <c r="F13" s="59" t="s">
        <v>35</v>
      </c>
      <c r="G13" s="89">
        <f>VLOOKUP($G$12,Datasheet!$G$6:$I$24,1+Datasheet!$B$27,FALSE)</f>
        <v>137</v>
      </c>
    </row>
    <row r="14" spans="1:7" ht="21.75" customHeight="1">
      <c r="A14" s="117" t="s">
        <v>1</v>
      </c>
      <c r="B14" s="124">
        <v>150</v>
      </c>
      <c r="C14" s="12"/>
      <c r="D14" s="109" t="s">
        <v>141</v>
      </c>
      <c r="E14" s="181">
        <f>Datasheet!A28</f>
        <v>1.1987852309659546</v>
      </c>
      <c r="F14" s="59" t="s">
        <v>18</v>
      </c>
      <c r="G14" s="38">
        <f>Datasheet!S142*(POWER(Datasheet!D142,2)/POWER(G13,2))</f>
        <v>1.1987852309659546</v>
      </c>
    </row>
    <row r="15" spans="1:7" ht="21.75" customHeight="1" thickBot="1">
      <c r="A15" s="117" t="s">
        <v>8</v>
      </c>
      <c r="B15" s="124">
        <v>100</v>
      </c>
      <c r="C15" s="12"/>
      <c r="D15" s="110" t="s">
        <v>142</v>
      </c>
      <c r="E15" s="182">
        <f>Datasheet!S142*(POWER(Datasheet!F142,2)/POWER(E13,2))</f>
        <v>1.1987852309659546</v>
      </c>
      <c r="F15" s="184" t="s">
        <v>18</v>
      </c>
      <c r="G15" s="39">
        <f>Datasheet!S142*(POWER(Datasheet!F142,2)/POWER(G13,2))</f>
        <v>1.1987852309659546</v>
      </c>
    </row>
    <row r="16" spans="1:7" ht="21.75" customHeight="1">
      <c r="A16" s="109" t="s">
        <v>7</v>
      </c>
      <c r="B16" s="125">
        <f>Datasheet!S142</f>
        <v>1</v>
      </c>
      <c r="C16" s="64"/>
      <c r="D16" s="111"/>
      <c r="E16" s="65"/>
      <c r="F16" s="65"/>
      <c r="G16" s="66"/>
    </row>
    <row r="17" spans="1:4" ht="21.75" customHeight="1">
      <c r="A17" s="109" t="s">
        <v>138</v>
      </c>
      <c r="B17" s="124">
        <v>100</v>
      </c>
      <c r="C17" s="64"/>
      <c r="D17" s="107"/>
    </row>
    <row r="18" spans="1:4" ht="21.75" customHeight="1" thickBot="1">
      <c r="A18" s="109" t="s">
        <v>161</v>
      </c>
      <c r="B18" s="65"/>
      <c r="C18" s="72">
        <f>Datasheet!A29</f>
        <v>2.5</v>
      </c>
      <c r="D18" s="107"/>
    </row>
    <row r="19" spans="1:6" ht="21.75" customHeight="1" thickBot="1">
      <c r="A19" s="109" t="s">
        <v>19</v>
      </c>
      <c r="B19" s="65"/>
      <c r="C19" s="64"/>
      <c r="D19" s="112" t="s">
        <v>52</v>
      </c>
      <c r="E19" s="86">
        <f>0.408*Datasheet!$D$142/(POWER(VLOOKUP(Datasheet!$C$31,Datasheet!$F$6:$V$24,(Datasheet!$B$31*4)+(Datasheet!$B$40)+1,FALSE)/2,2)*PI())</f>
        <v>11.222776179339135</v>
      </c>
      <c r="F19" s="185" t="s">
        <v>41</v>
      </c>
    </row>
    <row r="20" spans="1:6" ht="21.75" customHeight="1" thickBot="1">
      <c r="A20" s="110" t="s">
        <v>23</v>
      </c>
      <c r="B20" s="70"/>
      <c r="C20" s="71"/>
      <c r="D20" s="113" t="s">
        <v>53</v>
      </c>
      <c r="E20" s="86">
        <f>0.408*Datasheet!$F$142/(POWER(VLOOKUP(Datasheet!$C$31,Datasheet!$F$6:$V$24,(Datasheet!$B$31*4)+(Datasheet!$B$40)+1,FALSE)/2,2)*PI())</f>
        <v>11.222776179339135</v>
      </c>
      <c r="F20" s="186" t="s">
        <v>41</v>
      </c>
    </row>
    <row r="22" ht="12.75">
      <c r="A22" t="s">
        <v>20</v>
      </c>
    </row>
    <row r="23" ht="12.75">
      <c r="A23" t="s">
        <v>125</v>
      </c>
    </row>
    <row r="24" ht="12.75">
      <c r="A24" t="s">
        <v>22</v>
      </c>
    </row>
    <row r="26" ht="17.25" customHeight="1"/>
    <row r="27" ht="15">
      <c r="A27" s="15">
        <f>IF(G12&gt;E12,"Warning ****Please Reduce manual valve size, valve partially open****","")</f>
      </c>
    </row>
    <row r="28" ht="18">
      <c r="A28" s="6">
        <f>IF(Datasheet!D142&gt;Datasheet!F142,"Reverse your values  *****MIN FLOW NEED TO BE LESS THAN MAX FLOW****","")</f>
      </c>
    </row>
    <row r="29" ht="18">
      <c r="A29" s="6">
        <f>IF(E20&gt;15,"WARNING*****LINE VELOCITY TOO HIGH****","")</f>
      </c>
    </row>
    <row r="30" ht="15">
      <c r="A30" s="15">
        <f>IF(OR(Datasheet!A26=Datasheet!A29,G12=Datasheet!A29),"","WARNING****Please Revise,  Pipe Size is Different From Valve Size****")</f>
      </c>
    </row>
    <row r="31" ht="18">
      <c r="A31" s="6"/>
    </row>
    <row r="32" spans="1:3" ht="18">
      <c r="A32" s="171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</sheetData>
  <sheetProtection password="CA14" sheet="1" objects="1" scenarios="1"/>
  <mergeCells count="3">
    <mergeCell ref="A2:F2"/>
    <mergeCell ref="A10:C10"/>
    <mergeCell ref="D10:F10"/>
  </mergeCells>
  <conditionalFormatting sqref="E12 G12">
    <cfRule type="cellIs" priority="1" dxfId="0" operator="notEqual" stopIfTrue="1">
      <formula>$C$18</formula>
    </cfRule>
  </conditionalFormatting>
  <conditionalFormatting sqref="E19:E20">
    <cfRule type="cellIs" priority="2" dxfId="0" operator="greaterThanOrEqual" stopIfTrue="1">
      <formula>15</formula>
    </cfRule>
  </conditionalFormatting>
  <printOptions horizontalCentered="1"/>
  <pageMargins left="0.75" right="0.75" top="1" bottom="1" header="0.5" footer="0.5"/>
  <pageSetup horizontalDpi="300" verticalDpi="300" orientation="portrait" scale="69" r:id="rId4"/>
  <drawing r:id="rId3"/>
  <legacyDrawing r:id="rId2"/>
  <oleObjects>
    <oleObject progId="Paint.Picture" shapeId="12415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J41"/>
  <sheetViews>
    <sheetView tabSelected="1" zoomScale="75" zoomScaleNormal="75" workbookViewId="0" topLeftCell="A2">
      <selection activeCell="G15" sqref="G15"/>
    </sheetView>
  </sheetViews>
  <sheetFormatPr defaultColWidth="9.140625" defaultRowHeight="12.75"/>
  <cols>
    <col min="1" max="1" width="20.140625" style="0" customWidth="1"/>
    <col min="2" max="2" width="17.421875" style="0" customWidth="1"/>
    <col min="3" max="3" width="17.28125" style="0" customWidth="1"/>
    <col min="4" max="4" width="22.7109375" style="0" customWidth="1"/>
    <col min="5" max="5" width="17.421875" style="0" customWidth="1"/>
    <col min="7" max="7" width="19.00390625" style="0" customWidth="1"/>
    <col min="9" max="9" width="11.421875" style="0" bestFit="1" customWidth="1"/>
  </cols>
  <sheetData>
    <row r="1" ht="75.75" customHeight="1"/>
    <row r="2" spans="1:6" ht="117" customHeight="1" thickBot="1">
      <c r="A2" s="207"/>
      <c r="B2" s="207"/>
      <c r="C2" s="207"/>
      <c r="D2" s="207"/>
      <c r="E2" s="207"/>
      <c r="F2" s="207"/>
    </row>
    <row r="3" spans="1:10" ht="21.75" customHeight="1" thickBot="1">
      <c r="A3" s="17" t="s">
        <v>46</v>
      </c>
      <c r="B3" s="2"/>
      <c r="C3" s="2" t="s">
        <v>47</v>
      </c>
      <c r="D3" s="2"/>
      <c r="E3" s="120"/>
      <c r="F3" s="87" t="s">
        <v>160</v>
      </c>
      <c r="G3" s="29"/>
      <c r="H3" s="2"/>
      <c r="I3" s="2"/>
      <c r="J3" s="2"/>
    </row>
    <row r="4" spans="1:10" ht="21.75" customHeight="1" thickBot="1">
      <c r="A4" s="2" t="s">
        <v>185</v>
      </c>
      <c r="B4" s="2"/>
      <c r="C4" s="2"/>
      <c r="D4" s="2"/>
      <c r="E4" s="21"/>
      <c r="F4" s="31" t="s">
        <v>98</v>
      </c>
      <c r="G4" s="32"/>
      <c r="H4" s="2"/>
      <c r="I4" s="2"/>
      <c r="J4" s="2"/>
    </row>
    <row r="5" spans="1:10" ht="21.75" customHeight="1" thickBot="1">
      <c r="A5" s="17"/>
      <c r="B5" s="2"/>
      <c r="C5" s="2"/>
      <c r="D5" s="2"/>
      <c r="E5" s="30"/>
      <c r="F5" s="33" t="s">
        <v>122</v>
      </c>
      <c r="G5" s="29"/>
      <c r="H5" s="2"/>
      <c r="I5" s="2"/>
      <c r="J5" s="2"/>
    </row>
    <row r="6" spans="1:10" ht="21.75" customHeight="1">
      <c r="A6" s="176" t="s">
        <v>182</v>
      </c>
      <c r="B6" s="190"/>
      <c r="C6" s="191"/>
      <c r="G6" s="2"/>
      <c r="H6" s="2"/>
      <c r="I6" s="2"/>
      <c r="J6" s="2"/>
    </row>
    <row r="7" spans="1:10" ht="21.75" customHeight="1">
      <c r="A7" s="177" t="s">
        <v>181</v>
      </c>
      <c r="B7" s="192"/>
      <c r="C7" s="193"/>
      <c r="G7" s="2"/>
      <c r="H7" s="2"/>
      <c r="I7" s="2"/>
      <c r="J7" s="2"/>
    </row>
    <row r="8" spans="1:10" ht="21.75" customHeight="1">
      <c r="A8" s="178" t="s">
        <v>179</v>
      </c>
      <c r="B8" s="175">
        <f ca="1">TODAY()</f>
        <v>39296</v>
      </c>
      <c r="C8" s="193"/>
      <c r="G8" s="2"/>
      <c r="H8" s="2"/>
      <c r="I8" s="2"/>
      <c r="J8" s="2"/>
    </row>
    <row r="9" spans="1:10" ht="21.75" customHeight="1" thickBot="1">
      <c r="A9" s="179" t="s">
        <v>180</v>
      </c>
      <c r="B9" s="194"/>
      <c r="C9" s="195"/>
      <c r="G9" s="2"/>
      <c r="H9" s="2"/>
      <c r="I9" s="2"/>
      <c r="J9" s="2"/>
    </row>
    <row r="10" spans="1:10" ht="21.75" customHeight="1" thickBot="1">
      <c r="A10" s="214" t="s">
        <v>44</v>
      </c>
      <c r="B10" s="215"/>
      <c r="C10" s="216"/>
      <c r="D10" s="211" t="s">
        <v>109</v>
      </c>
      <c r="E10" s="212"/>
      <c r="F10" s="213"/>
      <c r="G10" s="90" t="s">
        <v>48</v>
      </c>
      <c r="H10" s="2"/>
      <c r="I10" s="2"/>
      <c r="J10" s="2"/>
    </row>
    <row r="11" spans="1:4" ht="21.75" customHeight="1" thickBot="1">
      <c r="A11" s="23" t="s">
        <v>2</v>
      </c>
      <c r="B11" s="19"/>
      <c r="C11" s="35" t="s">
        <v>94</v>
      </c>
      <c r="D11" t="s">
        <v>113</v>
      </c>
    </row>
    <row r="12" spans="1:7" ht="21.75" customHeight="1" thickBot="1">
      <c r="A12" s="9" t="s">
        <v>38</v>
      </c>
      <c r="B12" s="114">
        <v>1.3</v>
      </c>
      <c r="C12" s="121"/>
      <c r="D12" s="152" t="s">
        <v>5</v>
      </c>
      <c r="E12" s="156" t="e">
        <f>CHOOSE(Datasheet!$E$76,Datasheet!A73,Datasheet!B73,Datasheet!C73)</f>
        <v>#N/A</v>
      </c>
      <c r="F12" s="157" t="s">
        <v>62</v>
      </c>
      <c r="G12" s="158">
        <v>1.5</v>
      </c>
    </row>
    <row r="13" spans="1:8" ht="21.75" customHeight="1">
      <c r="A13" s="9" t="s">
        <v>0</v>
      </c>
      <c r="B13" s="114">
        <v>30</v>
      </c>
      <c r="C13" s="122" t="s">
        <v>51</v>
      </c>
      <c r="D13" s="23" t="s">
        <v>6</v>
      </c>
      <c r="E13" s="153" t="e">
        <f>CHOOSE(Datasheet!$E$76,Datasheet!A74,Datasheet!B74,Datasheet!C74)</f>
        <v>#N/A</v>
      </c>
      <c r="F13" s="154"/>
      <c r="G13" s="155">
        <f>VLOOKUP($G$12,Datasheet!$G$6:$I$24,1+Datasheet!$F$76,FALSE)</f>
        <v>38</v>
      </c>
      <c r="H13" s="2"/>
    </row>
    <row r="14" spans="1:7" ht="21.75" customHeight="1">
      <c r="A14" s="9" t="s">
        <v>1</v>
      </c>
      <c r="B14" s="114">
        <v>30</v>
      </c>
      <c r="C14" s="122" t="s">
        <v>51</v>
      </c>
      <c r="D14" s="9" t="s">
        <v>15</v>
      </c>
      <c r="E14" s="36" t="e">
        <f>CHOOSE(Datasheet!$E$76,Datasheet!A75,Datasheet!B75,Datasheet!C75)</f>
        <v>#N/A</v>
      </c>
      <c r="F14" s="5" t="s">
        <v>18</v>
      </c>
      <c r="G14" s="38">
        <f>Datasheet!$D$101*Datasheet!$D$101*Datasheet!$O$101*Datasheet!$H$101/1849600/G13/G13/Datasheet!$B$101</f>
        <v>0.005623520964885188</v>
      </c>
    </row>
    <row r="15" spans="1:7" ht="21.75" customHeight="1" thickBot="1">
      <c r="A15" s="9" t="s">
        <v>8</v>
      </c>
      <c r="B15" s="115">
        <v>150</v>
      </c>
      <c r="C15" s="121"/>
      <c r="D15" s="10" t="s">
        <v>16</v>
      </c>
      <c r="E15" s="37" t="e">
        <f>Datasheet!F101*Datasheet!F101*Datasheet!O101*Datasheet!H101/1849600/E13/E13/Datasheet!B101</f>
        <v>#N/A</v>
      </c>
      <c r="F15" s="28" t="s">
        <v>18</v>
      </c>
      <c r="G15" s="39">
        <f>Datasheet!$F$101*Datasheet!$F$101*Datasheet!$O$101*Datasheet!$H$101/1849600/G13/G13/Datasheet!$B$101</f>
        <v>0.005623520964885188</v>
      </c>
    </row>
    <row r="16" spans="1:7" ht="21.75" customHeight="1">
      <c r="A16" s="16"/>
      <c r="B16" s="164"/>
      <c r="C16" s="206" t="s">
        <v>184</v>
      </c>
      <c r="D16" s="2"/>
      <c r="E16" s="66"/>
      <c r="F16" s="93"/>
      <c r="G16" s="66"/>
    </row>
    <row r="17" spans="1:7" ht="21.75" customHeight="1">
      <c r="A17" s="9" t="s">
        <v>7</v>
      </c>
      <c r="B17" s="203">
        <f>IF(Datasheet!L101=1,C17,Datasheet!O101)</f>
        <v>1.305</v>
      </c>
      <c r="C17" s="205">
        <v>2</v>
      </c>
      <c r="G17" s="20"/>
    </row>
    <row r="18" spans="1:7" ht="21.75" customHeight="1">
      <c r="A18" s="24" t="s">
        <v>61</v>
      </c>
      <c r="B18" s="203">
        <f>IF(Datasheet!L101=1,'Gas Sizing'!C18,Datasheet!M101)</f>
        <v>32</v>
      </c>
      <c r="C18" s="205">
        <v>29</v>
      </c>
      <c r="G18" s="20"/>
    </row>
    <row r="19" spans="1:7" ht="21.75" customHeight="1" thickBot="1">
      <c r="A19" s="10" t="s">
        <v>60</v>
      </c>
      <c r="B19" s="204">
        <f>Datasheet!Q101</f>
        <v>1.4</v>
      </c>
      <c r="C19" s="205">
        <v>1.4</v>
      </c>
      <c r="G19" s="20"/>
    </row>
    <row r="20" spans="1:9" ht="21" customHeight="1">
      <c r="A20" s="13" t="s">
        <v>3</v>
      </c>
      <c r="B20" s="14"/>
      <c r="C20" s="202">
        <f>Datasheet!A76</f>
        <v>1.5</v>
      </c>
      <c r="D20" s="25" t="s">
        <v>52</v>
      </c>
      <c r="E20" s="68">
        <f>(3.057*Datasheet!$D120)/(Datasheet!A78*Datasheet!A78*60)</f>
        <v>15.102111502551573</v>
      </c>
      <c r="F20" s="26" t="s">
        <v>41</v>
      </c>
      <c r="G20" s="97"/>
      <c r="H20" s="65"/>
      <c r="I20" s="2"/>
    </row>
    <row r="21" spans="1:8" ht="21.75" customHeight="1" thickBot="1">
      <c r="A21" s="9" t="s">
        <v>19</v>
      </c>
      <c r="B21" s="1"/>
      <c r="C21" s="118"/>
      <c r="D21" s="16" t="s">
        <v>53</v>
      </c>
      <c r="E21" s="69">
        <f>(3.057*Datasheet!$F120)/(Datasheet!A78*Datasheet!A78*60)</f>
        <v>15.102111502551573</v>
      </c>
      <c r="F21" s="99" t="s">
        <v>41</v>
      </c>
      <c r="G21" s="97"/>
      <c r="H21" s="65"/>
    </row>
    <row r="22" spans="1:6" ht="21" customHeight="1" thickBot="1">
      <c r="A22" s="10" t="s">
        <v>23</v>
      </c>
      <c r="B22" s="11"/>
      <c r="C22" s="119"/>
      <c r="D22" s="27" t="s">
        <v>54</v>
      </c>
      <c r="E22" s="98">
        <f>(Datasheet!$F$120)/(5574*(PI()*POWER(Datasheet!$A$78/2,2))*SQRT(Datasheet!$Q$101*Datasheet!$H$101/Datasheet!$M$101))</f>
        <v>0.013099186247041436</v>
      </c>
      <c r="F22" s="106"/>
    </row>
    <row r="24" ht="12.75">
      <c r="A24" t="s">
        <v>20</v>
      </c>
    </row>
    <row r="25" ht="12.75">
      <c r="A25" t="s">
        <v>110</v>
      </c>
    </row>
    <row r="26" ht="12.75">
      <c r="A26" t="s">
        <v>111</v>
      </c>
    </row>
    <row r="28" ht="12.75">
      <c r="E28" s="2"/>
    </row>
    <row r="29" spans="1:5" ht="13.5" customHeight="1">
      <c r="A29" s="15"/>
      <c r="E29" s="2"/>
    </row>
    <row r="30" ht="15">
      <c r="A30" s="15">
        <f>IF(B13&gt;B14," Error code 1:  Reverse your values  *****MIN FLOW NEED TO BE LESS THAN MAX FLOW****","")</f>
      </c>
    </row>
    <row r="31" ht="15">
      <c r="A31" s="15">
        <f>IF(Datasheet!D129&gt;0.3," Error code 2: *****CALL FACTORY, LINE VELOCITY HIGH****","")</f>
      </c>
    </row>
    <row r="32" ht="15">
      <c r="A32" s="15" t="e">
        <f>IF(OR(CHOOSE(Datasheet!E76,Datasheet!A76,Datasheet!C76)=E12,CHOOSE(Datasheet!E76,Datasheet!A76,Datasheet!C76)=G12),""," Error code 3:  ****Please Revise,  Pipe Size is Different From Valve Size****")</f>
        <v>#VALUE!</v>
      </c>
    </row>
    <row r="33" ht="15">
      <c r="A33" s="15" t="e">
        <f>IF(G12&gt;E12," Error code 5:  ****Decrease Valve size or use SA 10****","")</f>
        <v>#N/A</v>
      </c>
    </row>
    <row r="41" ht="18">
      <c r="A41" s="6"/>
    </row>
  </sheetData>
  <sheetProtection password="CA14" sheet="1" objects="1" scenarios="1"/>
  <mergeCells count="3">
    <mergeCell ref="A2:F2"/>
    <mergeCell ref="A10:C10"/>
    <mergeCell ref="D10:F10"/>
  </mergeCells>
  <conditionalFormatting sqref="E22">
    <cfRule type="cellIs" priority="1" dxfId="0" operator="greaterThan" stopIfTrue="1">
      <formula>0.3</formula>
    </cfRule>
  </conditionalFormatting>
  <conditionalFormatting sqref="E12 G12">
    <cfRule type="cellIs" priority="2" dxfId="0" operator="notEqual" stopIfTrue="1">
      <formula>$C$20</formula>
    </cfRule>
  </conditionalFormatting>
  <conditionalFormatting sqref="B17:B18">
    <cfRule type="cellIs" priority="3" dxfId="1" operator="notEqual" stopIfTrue="1">
      <formula>0</formula>
    </cfRule>
  </conditionalFormatting>
  <conditionalFormatting sqref="B19">
    <cfRule type="cellIs" priority="4" dxfId="1" operator="notEqual" stopIfTrue="1">
      <formula>0</formula>
    </cfRule>
  </conditionalFormatting>
  <printOptions horizontalCentered="1"/>
  <pageMargins left="0.75" right="0.75" top="1" bottom="1" header="0.5" footer="0.5"/>
  <pageSetup horizontalDpi="300" verticalDpi="300" orientation="portrait" scale="69" r:id="rId4"/>
  <drawing r:id="rId3"/>
  <legacyDrawing r:id="rId2"/>
  <oleObjects>
    <oleObject progId="Paint.Picture" shapeId="12429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177"/>
  <sheetViews>
    <sheetView workbookViewId="0" topLeftCell="A55">
      <pane xSplit="8085" topLeftCell="Y1" activePane="topLeft" state="split"/>
      <selection pane="topLeft" activeCell="A87" sqref="A87"/>
      <selection pane="topRight" activeCell="Y64" sqref="Y64"/>
    </sheetView>
  </sheetViews>
  <sheetFormatPr defaultColWidth="9.140625" defaultRowHeight="12.75"/>
  <cols>
    <col min="1" max="1" width="20.28125" style="0" bestFit="1" customWidth="1"/>
    <col min="2" max="2" width="26.28125" style="0" bestFit="1" customWidth="1"/>
    <col min="3" max="3" width="30.8515625" style="0" bestFit="1" customWidth="1"/>
    <col min="4" max="4" width="17.8515625" style="0" bestFit="1" customWidth="1"/>
    <col min="5" max="5" width="15.57421875" style="0" bestFit="1" customWidth="1"/>
    <col min="6" max="6" width="19.7109375" style="0" bestFit="1" customWidth="1"/>
    <col min="7" max="7" width="33.140625" style="0" bestFit="1" customWidth="1"/>
    <col min="8" max="8" width="17.57421875" style="0" bestFit="1" customWidth="1"/>
    <col min="9" max="9" width="33.140625" style="0" bestFit="1" customWidth="1"/>
    <col min="10" max="10" width="33.140625" style="0" customWidth="1"/>
    <col min="11" max="11" width="14.7109375" style="0" customWidth="1"/>
    <col min="12" max="12" width="13.7109375" style="0" bestFit="1" customWidth="1"/>
    <col min="13" max="13" width="13.8515625" style="0" customWidth="1"/>
    <col min="14" max="15" width="6.57421875" style="0" bestFit="1" customWidth="1"/>
    <col min="16" max="16" width="15.421875" style="0" bestFit="1" customWidth="1"/>
    <col min="17" max="17" width="13.7109375" style="0" bestFit="1" customWidth="1"/>
    <col min="18" max="18" width="13.28125" style="0" bestFit="1" customWidth="1"/>
    <col min="19" max="19" width="6.140625" style="0" customWidth="1"/>
    <col min="20" max="20" width="13.7109375" style="0" bestFit="1" customWidth="1"/>
    <col min="21" max="21" width="11.7109375" style="0" bestFit="1" customWidth="1"/>
    <col min="22" max="22" width="6.28125" style="0" customWidth="1"/>
    <col min="23" max="23" width="8.28125" style="0" customWidth="1"/>
    <col min="25" max="26" width="14.57421875" style="0" bestFit="1" customWidth="1"/>
    <col min="27" max="28" width="20.421875" style="0" bestFit="1" customWidth="1"/>
    <col min="29" max="30" width="17.57421875" style="0" bestFit="1" customWidth="1"/>
  </cols>
  <sheetData>
    <row r="1" spans="8:28" ht="12.75">
      <c r="H1" s="225" t="s">
        <v>144</v>
      </c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28" ht="12.75">
      <c r="A2" s="45"/>
      <c r="B2" s="73"/>
      <c r="C2" s="73"/>
      <c r="D2" s="73"/>
      <c r="E2" s="73"/>
      <c r="F2" s="73"/>
      <c r="G2" s="73"/>
      <c r="H2" s="45"/>
      <c r="I2" s="73"/>
      <c r="J2" s="73"/>
      <c r="K2" s="221" t="s">
        <v>30</v>
      </c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18"/>
      <c r="W2" s="45"/>
      <c r="X2" s="73"/>
      <c r="Y2" s="73"/>
      <c r="Z2" s="73"/>
      <c r="AA2" s="73"/>
      <c r="AB2" s="74"/>
    </row>
    <row r="3" spans="1:28" ht="12.75">
      <c r="A3" s="222" t="s">
        <v>143</v>
      </c>
      <c r="B3" s="223"/>
      <c r="C3" s="223"/>
      <c r="D3" s="223"/>
      <c r="E3" s="223"/>
      <c r="F3" s="223"/>
      <c r="G3" s="223"/>
      <c r="H3" s="75"/>
      <c r="I3" s="2"/>
      <c r="J3" s="2"/>
      <c r="K3" s="221" t="s">
        <v>31</v>
      </c>
      <c r="L3" s="221"/>
      <c r="M3" s="221"/>
      <c r="N3" s="221"/>
      <c r="O3" s="221" t="s">
        <v>32</v>
      </c>
      <c r="P3" s="221"/>
      <c r="Q3" s="221"/>
      <c r="R3" s="221"/>
      <c r="S3" s="221" t="s">
        <v>33</v>
      </c>
      <c r="T3" s="221"/>
      <c r="U3" s="221"/>
      <c r="V3" s="218"/>
      <c r="W3" s="75"/>
      <c r="X3" s="2"/>
      <c r="Y3" s="2"/>
      <c r="Z3" s="2"/>
      <c r="AA3" s="2"/>
      <c r="AB3" s="76"/>
    </row>
    <row r="4" spans="1:28" ht="12.75">
      <c r="A4" s="45" t="s">
        <v>14</v>
      </c>
      <c r="B4" s="73" t="s">
        <v>9</v>
      </c>
      <c r="C4" s="73" t="s">
        <v>10</v>
      </c>
      <c r="D4" s="73" t="s">
        <v>11</v>
      </c>
      <c r="E4" s="73" t="s">
        <v>13</v>
      </c>
      <c r="F4" s="75" t="s">
        <v>37</v>
      </c>
      <c r="G4" s="2"/>
      <c r="H4" s="2"/>
      <c r="I4" s="2"/>
      <c r="J4" s="2"/>
      <c r="K4" s="1" t="s">
        <v>24</v>
      </c>
      <c r="L4" s="1" t="s">
        <v>25</v>
      </c>
      <c r="M4" s="1" t="s">
        <v>26</v>
      </c>
      <c r="N4" s="1" t="s">
        <v>27</v>
      </c>
      <c r="O4" s="1" t="s">
        <v>24</v>
      </c>
      <c r="P4" s="1" t="s">
        <v>25</v>
      </c>
      <c r="Q4" s="1" t="s">
        <v>26</v>
      </c>
      <c r="R4" s="1" t="s">
        <v>27</v>
      </c>
      <c r="S4" s="1" t="s">
        <v>24</v>
      </c>
      <c r="T4" s="1" t="s">
        <v>25</v>
      </c>
      <c r="U4" s="1" t="s">
        <v>26</v>
      </c>
      <c r="V4" s="83" t="s">
        <v>27</v>
      </c>
      <c r="W4" s="75" t="s">
        <v>11</v>
      </c>
      <c r="X4" s="75" t="s">
        <v>11</v>
      </c>
      <c r="Y4" s="75" t="s">
        <v>173</v>
      </c>
      <c r="Z4" s="75" t="s">
        <v>173</v>
      </c>
      <c r="AA4" s="2" t="s">
        <v>12</v>
      </c>
      <c r="AB4" s="76" t="s">
        <v>12</v>
      </c>
    </row>
    <row r="5" spans="1:28" ht="12.75">
      <c r="A5" s="75"/>
      <c r="B5" s="2"/>
      <c r="C5" s="2"/>
      <c r="D5" s="2"/>
      <c r="E5" s="2"/>
      <c r="F5" s="75"/>
      <c r="G5" s="2"/>
      <c r="H5" s="52" t="s">
        <v>114</v>
      </c>
      <c r="I5" s="52" t="s">
        <v>10</v>
      </c>
      <c r="J5" s="52" t="s">
        <v>176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60">
        <v>45</v>
      </c>
      <c r="X5" s="60" t="s">
        <v>115</v>
      </c>
      <c r="Y5" s="60">
        <v>45</v>
      </c>
      <c r="Z5" s="60" t="s">
        <v>115</v>
      </c>
      <c r="AA5" s="61">
        <v>45</v>
      </c>
      <c r="AB5" s="94" t="s">
        <v>115</v>
      </c>
    </row>
    <row r="6" spans="1:29" ht="12.75">
      <c r="A6" s="75" t="b">
        <f aca="true" t="shared" si="0" ref="A6:A24">E6&gt;D6</f>
        <v>0</v>
      </c>
      <c r="B6" s="2">
        <v>48</v>
      </c>
      <c r="C6" s="2">
        <f>CHOOSE($B$26,$H$24,$I$24)</f>
        <v>47914</v>
      </c>
      <c r="D6" s="2">
        <f>VLOOKUP(B6,$G$6:$X$24,$B$26+16,FALSE)</f>
        <v>0.36</v>
      </c>
      <c r="E6" s="2">
        <f aca="true" t="shared" si="1" ref="E6:E24">$S$142*POWER($D$142,2)/POWER($C6,2)</f>
        <v>9.800712759753888E-06</v>
      </c>
      <c r="F6" s="75">
        <v>1</v>
      </c>
      <c r="G6" s="78">
        <v>1.5</v>
      </c>
      <c r="H6" s="199"/>
      <c r="I6" s="200">
        <v>38</v>
      </c>
      <c r="J6" s="139">
        <v>0.9940195505498954</v>
      </c>
      <c r="K6" s="65">
        <v>1.682</v>
      </c>
      <c r="L6" s="65">
        <v>1.682</v>
      </c>
      <c r="M6" s="55" t="s">
        <v>99</v>
      </c>
      <c r="N6" s="55" t="s">
        <v>99</v>
      </c>
      <c r="O6" s="65">
        <v>1.61</v>
      </c>
      <c r="P6" s="65">
        <v>1.61</v>
      </c>
      <c r="Q6" s="55">
        <v>1.61</v>
      </c>
      <c r="R6" s="65">
        <v>1.61</v>
      </c>
      <c r="S6" s="65">
        <v>1.5</v>
      </c>
      <c r="T6" s="65">
        <v>1.5</v>
      </c>
      <c r="U6" s="55">
        <v>1.5</v>
      </c>
      <c r="V6" s="65">
        <v>1.5</v>
      </c>
      <c r="W6" s="196">
        <f>X6*0.6327</f>
        <v>1.512153</v>
      </c>
      <c r="X6" s="2">
        <v>2.39</v>
      </c>
      <c r="Y6" s="196">
        <f>6.63*Y7</f>
        <v>1.1271</v>
      </c>
      <c r="Z6" s="196">
        <f>6.68*Z7</f>
        <v>1.7368</v>
      </c>
      <c r="AA6" s="196">
        <f>0.6327*AB6</f>
        <v>0.265734</v>
      </c>
      <c r="AB6" s="95">
        <v>0.42</v>
      </c>
      <c r="AC6">
        <f>H6/I6</f>
        <v>0</v>
      </c>
    </row>
    <row r="7" spans="1:29" ht="12.75">
      <c r="A7" s="75" t="b">
        <f t="shared" si="0"/>
        <v>0</v>
      </c>
      <c r="B7" s="2">
        <v>42</v>
      </c>
      <c r="C7" s="2">
        <f>CHOOSE($B$26,$H$23,$I$23)</f>
        <v>44983</v>
      </c>
      <c r="D7" s="2">
        <f aca="true" t="shared" si="2" ref="D7:D24">VLOOKUP(B7,$G$6:$X$24,$B$26+16,FALSE)</f>
        <v>0.25</v>
      </c>
      <c r="E7" s="2">
        <f t="shared" si="1"/>
        <v>1.1119510932438505E-05</v>
      </c>
      <c r="F7" s="75">
        <v>2</v>
      </c>
      <c r="G7" s="78">
        <v>2</v>
      </c>
      <c r="H7" s="201">
        <v>34</v>
      </c>
      <c r="I7" s="200">
        <v>86</v>
      </c>
      <c r="J7" s="139">
        <v>1.4848934026733007</v>
      </c>
      <c r="K7" s="65">
        <v>2.157</v>
      </c>
      <c r="L7" s="65">
        <v>2.157</v>
      </c>
      <c r="M7" s="55" t="s">
        <v>99</v>
      </c>
      <c r="N7" s="55" t="s">
        <v>99</v>
      </c>
      <c r="O7" s="65">
        <v>2.067</v>
      </c>
      <c r="P7" s="65">
        <v>2.067</v>
      </c>
      <c r="Q7" s="55">
        <v>2.067</v>
      </c>
      <c r="R7" s="65">
        <v>2.069</v>
      </c>
      <c r="S7" s="65">
        <v>1.939</v>
      </c>
      <c r="T7" s="65">
        <v>1.939</v>
      </c>
      <c r="U7" s="55">
        <v>1.939</v>
      </c>
      <c r="V7" s="65">
        <v>1.939</v>
      </c>
      <c r="W7" s="96">
        <v>0.22</v>
      </c>
      <c r="X7" s="2">
        <v>0.36</v>
      </c>
      <c r="Y7" s="102">
        <v>0.17</v>
      </c>
      <c r="Z7" s="55">
        <v>0.26</v>
      </c>
      <c r="AA7" s="65">
        <v>0.02</v>
      </c>
      <c r="AB7" s="95">
        <v>0.03</v>
      </c>
      <c r="AC7">
        <f aca="true" t="shared" si="3" ref="AC7:AC15">H7/I7</f>
        <v>0.3953488372093023</v>
      </c>
    </row>
    <row r="8" spans="1:29" ht="12.75">
      <c r="A8" s="75" t="b">
        <f t="shared" si="0"/>
        <v>0</v>
      </c>
      <c r="B8" s="2">
        <v>36</v>
      </c>
      <c r="C8" s="2">
        <f>CHOOSE($B$26,$H$22,$I$22)</f>
        <v>25675</v>
      </c>
      <c r="D8" s="2">
        <f t="shared" si="2"/>
        <v>0.19</v>
      </c>
      <c r="E8" s="2">
        <f t="shared" si="1"/>
        <v>3.413199030272231E-05</v>
      </c>
      <c r="F8" s="75">
        <v>3</v>
      </c>
      <c r="G8" s="78">
        <v>2.5</v>
      </c>
      <c r="H8" s="201">
        <v>54</v>
      </c>
      <c r="I8" s="200">
        <v>137</v>
      </c>
      <c r="J8" s="139">
        <v>2.185153619760302</v>
      </c>
      <c r="K8" s="65">
        <v>2.635</v>
      </c>
      <c r="L8" s="65">
        <v>2.635</v>
      </c>
      <c r="M8" s="55" t="s">
        <v>99</v>
      </c>
      <c r="N8" s="55" t="s">
        <v>99</v>
      </c>
      <c r="O8" s="65">
        <v>2.469</v>
      </c>
      <c r="P8" s="65">
        <v>2.469</v>
      </c>
      <c r="Q8" s="55">
        <v>2.469</v>
      </c>
      <c r="R8" s="65">
        <v>2.469</v>
      </c>
      <c r="S8" s="65">
        <v>2.323</v>
      </c>
      <c r="T8" s="65">
        <v>2.323</v>
      </c>
      <c r="U8" s="55">
        <v>2.323</v>
      </c>
      <c r="V8" s="65">
        <v>2.323</v>
      </c>
      <c r="W8" s="96">
        <v>0.16</v>
      </c>
      <c r="X8" s="2">
        <v>0.37</v>
      </c>
      <c r="Y8" s="102">
        <v>0.05</v>
      </c>
      <c r="Z8" s="55">
        <v>0.18</v>
      </c>
      <c r="AA8" s="65">
        <v>0.02</v>
      </c>
      <c r="AB8" s="95">
        <v>0.1</v>
      </c>
      <c r="AC8">
        <f t="shared" si="3"/>
        <v>0.39416058394160586</v>
      </c>
    </row>
    <row r="9" spans="1:29" ht="12.75">
      <c r="A9" s="75" t="b">
        <f t="shared" si="0"/>
        <v>0</v>
      </c>
      <c r="B9" s="2">
        <v>30</v>
      </c>
      <c r="C9" s="2">
        <f>CHOOSE($B$26,$H$21,$I$21)</f>
        <v>18041</v>
      </c>
      <c r="D9" s="2">
        <f t="shared" si="2"/>
        <v>0.41</v>
      </c>
      <c r="E9" s="2">
        <f t="shared" si="1"/>
        <v>6.912916403628917E-05</v>
      </c>
      <c r="F9" s="75">
        <v>4</v>
      </c>
      <c r="G9" s="78">
        <v>3</v>
      </c>
      <c r="H9" s="201">
        <v>101</v>
      </c>
      <c r="I9" s="200">
        <v>221</v>
      </c>
      <c r="J9" s="139">
        <v>3.7462361420702996</v>
      </c>
      <c r="K9" s="65">
        <v>3.26</v>
      </c>
      <c r="L9" s="65">
        <v>3.26</v>
      </c>
      <c r="M9" s="55" t="s">
        <v>99</v>
      </c>
      <c r="N9" s="55" t="s">
        <v>99</v>
      </c>
      <c r="O9" s="65">
        <v>3.068</v>
      </c>
      <c r="P9" s="65">
        <v>3.068</v>
      </c>
      <c r="Q9" s="55">
        <v>3.068</v>
      </c>
      <c r="R9" s="65">
        <v>3.068</v>
      </c>
      <c r="S9" s="65">
        <v>2.9</v>
      </c>
      <c r="T9" s="65">
        <v>2.9</v>
      </c>
      <c r="U9" s="55">
        <v>2.9</v>
      </c>
      <c r="V9" s="65">
        <v>2.9</v>
      </c>
      <c r="W9" s="96">
        <v>0.31</v>
      </c>
      <c r="X9" s="2">
        <v>0.8</v>
      </c>
      <c r="Y9" s="102">
        <v>0.08</v>
      </c>
      <c r="Z9" s="55">
        <v>0.2</v>
      </c>
      <c r="AA9" s="65">
        <v>0.03</v>
      </c>
      <c r="AB9" s="95">
        <v>0.09</v>
      </c>
      <c r="AC9">
        <f t="shared" si="3"/>
        <v>0.45701357466063347</v>
      </c>
    </row>
    <row r="10" spans="1:29" ht="12.75">
      <c r="A10" s="75" t="b">
        <f t="shared" si="0"/>
        <v>0</v>
      </c>
      <c r="B10" s="2">
        <v>24</v>
      </c>
      <c r="C10" s="2">
        <f>CHOOSE($B$26,$H$20,$I$20)</f>
        <v>10105</v>
      </c>
      <c r="D10" s="2">
        <f t="shared" si="2"/>
        <v>0.17</v>
      </c>
      <c r="E10" s="2">
        <f t="shared" si="1"/>
        <v>0.00022034839039173292</v>
      </c>
      <c r="F10" s="75">
        <v>5</v>
      </c>
      <c r="G10" s="78">
        <v>4</v>
      </c>
      <c r="H10" s="201">
        <v>168</v>
      </c>
      <c r="I10" s="200">
        <v>381</v>
      </c>
      <c r="J10" s="139">
        <v>6.632558684592654</v>
      </c>
      <c r="K10" s="65">
        <v>4.26</v>
      </c>
      <c r="L10" s="65">
        <v>4.26</v>
      </c>
      <c r="M10" s="55" t="s">
        <v>99</v>
      </c>
      <c r="N10" s="55" t="s">
        <v>99</v>
      </c>
      <c r="O10" s="2">
        <v>4.026</v>
      </c>
      <c r="P10" s="2">
        <v>4.026</v>
      </c>
      <c r="Q10" s="55">
        <v>4.026</v>
      </c>
      <c r="R10" s="65">
        <v>3.998</v>
      </c>
      <c r="S10" s="2">
        <v>3.826</v>
      </c>
      <c r="T10" s="2">
        <v>3.826</v>
      </c>
      <c r="U10" s="55">
        <v>3.826</v>
      </c>
      <c r="V10" s="2">
        <v>3.786</v>
      </c>
      <c r="W10" s="96">
        <v>0.14</v>
      </c>
      <c r="X10" s="2">
        <v>0.21</v>
      </c>
      <c r="Y10" s="102">
        <v>0.08</v>
      </c>
      <c r="Z10" s="55">
        <v>0.17</v>
      </c>
      <c r="AA10" s="65">
        <v>0.04</v>
      </c>
      <c r="AB10" s="95">
        <v>0.08</v>
      </c>
      <c r="AC10">
        <f t="shared" si="3"/>
        <v>0.4409448818897638</v>
      </c>
    </row>
    <row r="11" spans="1:29" ht="12.75">
      <c r="A11" s="75" t="b">
        <f t="shared" si="0"/>
        <v>0</v>
      </c>
      <c r="B11" s="2">
        <v>20</v>
      </c>
      <c r="C11" s="2">
        <f>CHOOSE($B$26,$H$19,$I$19)</f>
        <v>7769</v>
      </c>
      <c r="D11" s="2">
        <f t="shared" si="2"/>
        <v>0.26</v>
      </c>
      <c r="E11" s="2">
        <f t="shared" si="1"/>
        <v>0.0003727797177878602</v>
      </c>
      <c r="F11" s="75">
        <v>6</v>
      </c>
      <c r="G11" s="78">
        <v>5</v>
      </c>
      <c r="H11" s="201">
        <v>277</v>
      </c>
      <c r="I11" s="200">
        <v>679</v>
      </c>
      <c r="J11" s="139">
        <v>11.293447536607045</v>
      </c>
      <c r="K11" s="65">
        <v>5.295</v>
      </c>
      <c r="L11" s="65">
        <v>5.295</v>
      </c>
      <c r="M11" s="55" t="s">
        <v>99</v>
      </c>
      <c r="N11" s="55" t="s">
        <v>99</v>
      </c>
      <c r="O11" s="2">
        <v>5.047</v>
      </c>
      <c r="P11" s="2">
        <v>5.047</v>
      </c>
      <c r="Q11" s="55">
        <v>5.047</v>
      </c>
      <c r="R11" s="2">
        <v>5.047</v>
      </c>
      <c r="S11" s="2">
        <v>4.813</v>
      </c>
      <c r="T11" s="2">
        <v>4.813</v>
      </c>
      <c r="U11" s="55">
        <v>4.813</v>
      </c>
      <c r="V11" s="2">
        <v>4.813</v>
      </c>
      <c r="W11" s="96">
        <v>0.19</v>
      </c>
      <c r="X11" s="2">
        <v>0.34</v>
      </c>
      <c r="Y11" s="102">
        <v>0.05</v>
      </c>
      <c r="Z11" s="55">
        <v>0.13</v>
      </c>
      <c r="AA11" s="65">
        <v>0.04</v>
      </c>
      <c r="AB11" s="95">
        <v>0.1</v>
      </c>
      <c r="AC11">
        <f t="shared" si="3"/>
        <v>0.40795287187039764</v>
      </c>
    </row>
    <row r="12" spans="1:29" ht="12.75">
      <c r="A12" s="75" t="b">
        <f t="shared" si="0"/>
        <v>0</v>
      </c>
      <c r="B12" s="2">
        <v>18</v>
      </c>
      <c r="C12" s="2">
        <f>CHOOSE($B$26,$H$18,$I$18)</f>
        <v>5799</v>
      </c>
      <c r="D12" s="2">
        <f t="shared" si="2"/>
        <v>0.26</v>
      </c>
      <c r="E12" s="2">
        <f t="shared" si="1"/>
        <v>0.0006690773076007985</v>
      </c>
      <c r="F12" s="75">
        <v>7</v>
      </c>
      <c r="G12" s="78">
        <v>6</v>
      </c>
      <c r="H12" s="201">
        <v>450</v>
      </c>
      <c r="I12" s="200">
        <v>931</v>
      </c>
      <c r="J12" s="139">
        <v>16.117077171262697</v>
      </c>
      <c r="K12" s="65">
        <v>6.357</v>
      </c>
      <c r="L12" s="65">
        <v>6.357</v>
      </c>
      <c r="M12" s="55" t="s">
        <v>99</v>
      </c>
      <c r="N12" s="55" t="s">
        <v>99</v>
      </c>
      <c r="O12" s="2">
        <v>6.065</v>
      </c>
      <c r="P12" s="2">
        <v>6.065</v>
      </c>
      <c r="Q12" s="55">
        <v>6.065</v>
      </c>
      <c r="R12" s="2">
        <v>6.031</v>
      </c>
      <c r="S12" s="2">
        <v>5.761</v>
      </c>
      <c r="T12" s="2">
        <v>5.761</v>
      </c>
      <c r="U12" s="55">
        <v>5.761</v>
      </c>
      <c r="V12" s="2">
        <v>5.709</v>
      </c>
      <c r="W12" s="96">
        <v>0.2</v>
      </c>
      <c r="X12" s="2">
        <v>0.25</v>
      </c>
      <c r="Y12" s="102">
        <v>0.05</v>
      </c>
      <c r="Z12" s="55">
        <v>0.09</v>
      </c>
      <c r="AA12" s="65">
        <v>0.04</v>
      </c>
      <c r="AB12" s="76">
        <v>0.08</v>
      </c>
      <c r="AC12">
        <f t="shared" si="3"/>
        <v>0.4833512352309345</v>
      </c>
    </row>
    <row r="13" spans="1:29" ht="12.75">
      <c r="A13" s="75" t="b">
        <f t="shared" si="0"/>
        <v>0</v>
      </c>
      <c r="B13" s="2">
        <v>16</v>
      </c>
      <c r="C13" s="2">
        <f>CHOOSE($B$26,$H$17,$I$17)</f>
        <v>3911</v>
      </c>
      <c r="D13" s="2">
        <f t="shared" si="2"/>
        <v>0.13</v>
      </c>
      <c r="E13" s="2">
        <f t="shared" si="1"/>
        <v>0.0014709804005917657</v>
      </c>
      <c r="F13" s="75">
        <v>8</v>
      </c>
      <c r="G13" s="78">
        <v>8</v>
      </c>
      <c r="H13" s="201">
        <v>922</v>
      </c>
      <c r="I13" s="200">
        <v>1440</v>
      </c>
      <c r="J13" s="139">
        <v>29.339761048475967</v>
      </c>
      <c r="K13" s="65">
        <v>8.329</v>
      </c>
      <c r="L13" s="65">
        <v>8.329</v>
      </c>
      <c r="M13" s="55" t="s">
        <v>99</v>
      </c>
      <c r="N13" s="55" t="s">
        <v>99</v>
      </c>
      <c r="O13" s="2">
        <v>7.981</v>
      </c>
      <c r="P13" s="2">
        <v>7.981</v>
      </c>
      <c r="Q13" s="55">
        <v>7.981</v>
      </c>
      <c r="R13" s="2">
        <v>7.943</v>
      </c>
      <c r="S13" s="2">
        <v>7.625</v>
      </c>
      <c r="T13" s="2">
        <v>7.625</v>
      </c>
      <c r="U13" s="55">
        <v>7.625</v>
      </c>
      <c r="V13" s="2">
        <v>7.565</v>
      </c>
      <c r="W13" s="96">
        <v>0.11</v>
      </c>
      <c r="X13" s="2">
        <v>0.14</v>
      </c>
      <c r="Y13" s="102">
        <v>0.06</v>
      </c>
      <c r="Z13" s="55">
        <v>0.08</v>
      </c>
      <c r="AA13" s="65">
        <v>0.03</v>
      </c>
      <c r="AB13" s="95">
        <v>0.05</v>
      </c>
      <c r="AC13">
        <f t="shared" si="3"/>
        <v>0.6402777777777777</v>
      </c>
    </row>
    <row r="14" spans="1:29" ht="12.75">
      <c r="A14" s="75" t="b">
        <f t="shared" si="0"/>
        <v>0</v>
      </c>
      <c r="B14" s="2">
        <v>14</v>
      </c>
      <c r="C14" s="2">
        <f>CHOOSE($B$26,$H$16,$I$16)</f>
        <v>3226</v>
      </c>
      <c r="D14" s="2">
        <f t="shared" si="2"/>
        <v>0.15</v>
      </c>
      <c r="E14" s="2">
        <f t="shared" si="1"/>
        <v>0.002161990553350432</v>
      </c>
      <c r="F14" s="75">
        <v>9</v>
      </c>
      <c r="G14" s="78">
        <v>10</v>
      </c>
      <c r="H14" s="201">
        <v>1395</v>
      </c>
      <c r="I14" s="200">
        <v>2623</v>
      </c>
      <c r="J14" s="139">
        <v>44.923965200827574</v>
      </c>
      <c r="K14" s="65">
        <v>10.42</v>
      </c>
      <c r="L14" s="65">
        <v>10.42</v>
      </c>
      <c r="M14" s="55" t="s">
        <v>99</v>
      </c>
      <c r="N14" s="55" t="s">
        <v>99</v>
      </c>
      <c r="O14" s="2">
        <v>10.02</v>
      </c>
      <c r="P14" s="2">
        <v>10.02</v>
      </c>
      <c r="Q14" s="55">
        <v>10.02</v>
      </c>
      <c r="R14" s="2">
        <v>9.976</v>
      </c>
      <c r="S14" s="2">
        <v>9.75</v>
      </c>
      <c r="T14" s="2">
        <v>9.562</v>
      </c>
      <c r="U14" s="55">
        <v>9.562</v>
      </c>
      <c r="V14" s="2">
        <v>9.492</v>
      </c>
      <c r="W14" s="96">
        <v>0.08</v>
      </c>
      <c r="X14" s="2">
        <v>0.12</v>
      </c>
      <c r="Y14" s="102">
        <v>0.05</v>
      </c>
      <c r="Z14" s="55">
        <v>0.08</v>
      </c>
      <c r="AA14" s="65">
        <v>0.03</v>
      </c>
      <c r="AB14" s="95">
        <v>0.06</v>
      </c>
      <c r="AC14">
        <f t="shared" si="3"/>
        <v>0.5318337781166603</v>
      </c>
    </row>
    <row r="15" spans="1:29" ht="12.75">
      <c r="A15" s="75" t="b">
        <f t="shared" si="0"/>
        <v>0</v>
      </c>
      <c r="B15" s="2">
        <v>12</v>
      </c>
      <c r="C15" s="2">
        <f>CHOOSE($B$26,$H$15,$I$15)</f>
        <v>3206</v>
      </c>
      <c r="D15" s="2">
        <f t="shared" si="2"/>
        <v>0.14</v>
      </c>
      <c r="E15" s="2">
        <f t="shared" si="1"/>
        <v>0.002189048995391906</v>
      </c>
      <c r="F15" s="75">
        <v>10</v>
      </c>
      <c r="G15" s="78">
        <v>12</v>
      </c>
      <c r="H15" s="201">
        <v>2073</v>
      </c>
      <c r="I15" s="200">
        <v>3206</v>
      </c>
      <c r="J15" s="139">
        <v>63.61725123519331</v>
      </c>
      <c r="K15" s="65">
        <v>12.39</v>
      </c>
      <c r="L15" s="65">
        <v>12.39</v>
      </c>
      <c r="M15" s="55" t="s">
        <v>99</v>
      </c>
      <c r="N15" s="55" t="s">
        <v>99</v>
      </c>
      <c r="O15" s="2">
        <v>12</v>
      </c>
      <c r="P15" s="2">
        <v>11.938</v>
      </c>
      <c r="Q15" s="55">
        <v>11.938</v>
      </c>
      <c r="R15" s="2">
        <v>11.89</v>
      </c>
      <c r="S15" s="2">
        <v>11.75</v>
      </c>
      <c r="T15" s="2">
        <v>11.374</v>
      </c>
      <c r="U15" s="55">
        <v>11.374</v>
      </c>
      <c r="V15" s="2">
        <v>11.294</v>
      </c>
      <c r="W15" s="96">
        <v>0.11</v>
      </c>
      <c r="X15" s="2">
        <v>0.14</v>
      </c>
      <c r="Y15" s="102">
        <v>0.07</v>
      </c>
      <c r="Z15" s="55">
        <v>0.1</v>
      </c>
      <c r="AA15" s="65">
        <v>0.06</v>
      </c>
      <c r="AB15" s="95">
        <v>0.09</v>
      </c>
      <c r="AC15">
        <f t="shared" si="3"/>
        <v>0.6466001247660637</v>
      </c>
    </row>
    <row r="16" spans="1:29" ht="12.75">
      <c r="A16" s="75" t="b">
        <f t="shared" si="0"/>
        <v>0</v>
      </c>
      <c r="B16" s="2">
        <v>10</v>
      </c>
      <c r="C16" s="2">
        <f>CHOOSE($B$26,$H$14,$I$14)</f>
        <v>2623</v>
      </c>
      <c r="D16" s="2">
        <f t="shared" si="2"/>
        <v>0.12</v>
      </c>
      <c r="E16" s="2">
        <f t="shared" si="1"/>
        <v>0.003270287519318315</v>
      </c>
      <c r="F16" s="75">
        <v>11</v>
      </c>
      <c r="G16" s="78">
        <v>14</v>
      </c>
      <c r="H16" s="199">
        <f>0.49*I16</f>
        <v>1580.74</v>
      </c>
      <c r="I16" s="200">
        <v>3226</v>
      </c>
      <c r="J16" s="139">
        <v>83.56511260740898</v>
      </c>
      <c r="K16" s="65">
        <v>13.5</v>
      </c>
      <c r="L16" s="65">
        <v>13.5</v>
      </c>
      <c r="M16" s="55" t="s">
        <v>99</v>
      </c>
      <c r="N16" s="55" t="s">
        <v>99</v>
      </c>
      <c r="O16" s="2">
        <v>13.124</v>
      </c>
      <c r="P16" s="2">
        <v>13.124</v>
      </c>
      <c r="Q16" s="55">
        <v>13.124</v>
      </c>
      <c r="R16" s="2">
        <v>13.072</v>
      </c>
      <c r="S16" s="2">
        <v>12.5</v>
      </c>
      <c r="T16" s="2">
        <v>12.5</v>
      </c>
      <c r="U16" s="55">
        <v>12.5</v>
      </c>
      <c r="V16" s="2">
        <v>12.41</v>
      </c>
      <c r="W16" s="198">
        <v>0.094905</v>
      </c>
      <c r="X16" s="55">
        <v>0.15</v>
      </c>
      <c r="Y16" s="198">
        <f>0.6327*Z16</f>
        <v>0.04745250000000001</v>
      </c>
      <c r="Z16" s="196">
        <f>1.5*AB16</f>
        <v>0.07500000000000001</v>
      </c>
      <c r="AA16" s="198">
        <f>0.48*AB16</f>
        <v>0.024</v>
      </c>
      <c r="AB16" s="100">
        <v>0.05</v>
      </c>
      <c r="AC16">
        <f>AVERAGE(AC7:AC15)</f>
        <v>0.488609296162571</v>
      </c>
    </row>
    <row r="17" spans="1:28" ht="12.75">
      <c r="A17" s="75" t="b">
        <f t="shared" si="0"/>
        <v>0</v>
      </c>
      <c r="B17" s="2">
        <v>8</v>
      </c>
      <c r="C17" s="2">
        <f>CHOOSE($B$26,$H$13,$I$13)</f>
        <v>1440</v>
      </c>
      <c r="D17" s="2">
        <f t="shared" si="2"/>
        <v>0.14</v>
      </c>
      <c r="E17" s="2">
        <f t="shared" si="1"/>
        <v>0.010850694444444444</v>
      </c>
      <c r="F17" s="75">
        <v>12</v>
      </c>
      <c r="G17" s="78">
        <v>16</v>
      </c>
      <c r="H17" s="199">
        <f aca="true" t="shared" si="4" ref="H17:H24">0.49*I17</f>
        <v>1916.3899999999999</v>
      </c>
      <c r="I17" s="200">
        <v>3911</v>
      </c>
      <c r="J17" s="139">
        <v>122.33224463617971</v>
      </c>
      <c r="K17" s="65">
        <v>15.5</v>
      </c>
      <c r="L17" s="65">
        <v>15.5</v>
      </c>
      <c r="M17" s="55" t="s">
        <v>99</v>
      </c>
      <c r="N17" s="55" t="s">
        <v>99</v>
      </c>
      <c r="O17" s="2">
        <v>15</v>
      </c>
      <c r="P17" s="2">
        <v>15</v>
      </c>
      <c r="Q17" s="55">
        <v>15</v>
      </c>
      <c r="R17" s="2">
        <v>14.94</v>
      </c>
      <c r="S17" s="2">
        <v>14.312</v>
      </c>
      <c r="T17" s="2">
        <v>14.312</v>
      </c>
      <c r="U17" s="55">
        <v>14.312</v>
      </c>
      <c r="V17" s="2">
        <v>14.214</v>
      </c>
      <c r="W17" s="198">
        <v>0.082251</v>
      </c>
      <c r="X17" s="55">
        <v>0.13</v>
      </c>
      <c r="Y17" s="198">
        <f aca="true" t="shared" si="5" ref="Y17:Y24">0.6327*Z17</f>
        <v>0.037962</v>
      </c>
      <c r="Z17" s="196">
        <f aca="true" t="shared" si="6" ref="Z17:Z24">1.5*AB17</f>
        <v>0.06</v>
      </c>
      <c r="AA17" s="198">
        <f aca="true" t="shared" si="7" ref="AA17:AA24">0.48*AB17</f>
        <v>0.0192</v>
      </c>
      <c r="AB17" s="100">
        <v>0.04</v>
      </c>
    </row>
    <row r="18" spans="1:28" ht="12.75">
      <c r="A18" s="75" t="b">
        <f t="shared" si="0"/>
        <v>0</v>
      </c>
      <c r="B18" s="2">
        <v>6</v>
      </c>
      <c r="C18" s="2">
        <f>CHOOSE($B$26,$H$12,$I$12)</f>
        <v>931</v>
      </c>
      <c r="D18" s="2">
        <f t="shared" si="2"/>
        <v>0.25</v>
      </c>
      <c r="E18" s="2">
        <f t="shared" si="1"/>
        <v>0.025958712955474462</v>
      </c>
      <c r="F18" s="75">
        <v>13</v>
      </c>
      <c r="G18" s="78">
        <v>18</v>
      </c>
      <c r="H18" s="199">
        <f t="shared" si="4"/>
        <v>2841.5099999999998</v>
      </c>
      <c r="I18" s="200">
        <v>5799</v>
      </c>
      <c r="J18" s="139">
        <v>132.57153958025228</v>
      </c>
      <c r="K18" s="65">
        <v>17.5</v>
      </c>
      <c r="L18" s="65">
        <v>17.5</v>
      </c>
      <c r="M18" s="55" t="s">
        <v>99</v>
      </c>
      <c r="N18" s="55" t="s">
        <v>99</v>
      </c>
      <c r="O18" s="2">
        <v>16.876</v>
      </c>
      <c r="P18" s="2">
        <v>16.876</v>
      </c>
      <c r="Q18" s="55">
        <v>16.876</v>
      </c>
      <c r="R18" s="2">
        <v>16.808</v>
      </c>
      <c r="S18" s="2">
        <v>16.124</v>
      </c>
      <c r="T18" s="2">
        <v>16.124</v>
      </c>
      <c r="U18" s="55">
        <v>16.124</v>
      </c>
      <c r="V18" s="2">
        <v>16.014</v>
      </c>
      <c r="W18" s="198">
        <v>0.164502</v>
      </c>
      <c r="X18" s="55">
        <v>0.26</v>
      </c>
      <c r="Y18" s="198">
        <f t="shared" si="5"/>
        <v>0.056943</v>
      </c>
      <c r="Z18" s="196">
        <f t="shared" si="6"/>
        <v>0.09</v>
      </c>
      <c r="AA18" s="198">
        <f t="shared" si="7"/>
        <v>0.0288</v>
      </c>
      <c r="AB18" s="100">
        <v>0.06</v>
      </c>
    </row>
    <row r="19" spans="1:28" ht="12.75">
      <c r="A19" s="75" t="b">
        <f t="shared" si="0"/>
        <v>0</v>
      </c>
      <c r="B19" s="2">
        <v>5</v>
      </c>
      <c r="C19" s="2">
        <f>CHOOSE($B$26,$H$11,$I$11)</f>
        <v>679</v>
      </c>
      <c r="D19" s="2">
        <f t="shared" si="2"/>
        <v>0.34</v>
      </c>
      <c r="E19" s="2">
        <f t="shared" si="1"/>
        <v>0.048802601070186816</v>
      </c>
      <c r="F19" s="75">
        <v>14</v>
      </c>
      <c r="G19" s="78">
        <v>20</v>
      </c>
      <c r="H19" s="199">
        <f t="shared" si="4"/>
        <v>3806.81</v>
      </c>
      <c r="I19" s="200">
        <v>7769</v>
      </c>
      <c r="J19" s="139">
        <v>168.4644621971867</v>
      </c>
      <c r="K19" s="65">
        <v>19.5</v>
      </c>
      <c r="L19" s="65">
        <v>19.5</v>
      </c>
      <c r="M19" s="55" t="s">
        <v>99</v>
      </c>
      <c r="N19" s="55" t="s">
        <v>99</v>
      </c>
      <c r="O19" s="2">
        <v>18.812</v>
      </c>
      <c r="P19" s="2">
        <v>18.812</v>
      </c>
      <c r="Q19" s="55">
        <v>18.812</v>
      </c>
      <c r="R19" s="2">
        <v>18.863</v>
      </c>
      <c r="S19" s="2">
        <v>17.938</v>
      </c>
      <c r="T19" s="2">
        <v>17.938</v>
      </c>
      <c r="U19" s="55">
        <v>17.938</v>
      </c>
      <c r="V19" s="2">
        <v>17.614</v>
      </c>
      <c r="W19" s="198">
        <v>0.164502</v>
      </c>
      <c r="X19" s="55">
        <v>0.26</v>
      </c>
      <c r="Y19" s="198">
        <f t="shared" si="5"/>
        <v>0.0664335</v>
      </c>
      <c r="Z19" s="196">
        <f t="shared" si="6"/>
        <v>0.10500000000000001</v>
      </c>
      <c r="AA19" s="198">
        <f t="shared" si="7"/>
        <v>0.033600000000000005</v>
      </c>
      <c r="AB19" s="100">
        <v>0.07</v>
      </c>
    </row>
    <row r="20" spans="1:28" ht="12.75">
      <c r="A20" s="75" t="b">
        <f t="shared" si="0"/>
        <v>0</v>
      </c>
      <c r="B20" s="2">
        <v>4</v>
      </c>
      <c r="C20" s="2">
        <f>CHOOSE($B$26,$H$10,$I$10)</f>
        <v>381</v>
      </c>
      <c r="D20" s="2">
        <f t="shared" si="2"/>
        <v>0.21</v>
      </c>
      <c r="E20" s="2">
        <f t="shared" si="1"/>
        <v>0.15500031000062</v>
      </c>
      <c r="F20" s="75">
        <v>15</v>
      </c>
      <c r="G20" s="78">
        <v>24</v>
      </c>
      <c r="H20" s="199">
        <f t="shared" si="4"/>
        <v>4951.45</v>
      </c>
      <c r="I20" s="200">
        <v>10105</v>
      </c>
      <c r="J20" s="139">
        <v>213.722608450401</v>
      </c>
      <c r="K20" s="65">
        <v>23.5</v>
      </c>
      <c r="L20" s="65">
        <v>23.5</v>
      </c>
      <c r="M20" s="55" t="s">
        <v>99</v>
      </c>
      <c r="N20" s="55" t="s">
        <v>99</v>
      </c>
      <c r="O20" s="65">
        <v>22.624</v>
      </c>
      <c r="P20" s="65">
        <v>22.624</v>
      </c>
      <c r="Q20" s="55">
        <v>22.624</v>
      </c>
      <c r="R20" s="65">
        <v>22.54</v>
      </c>
      <c r="S20" s="65">
        <v>21.562</v>
      </c>
      <c r="T20" s="65">
        <v>21.562</v>
      </c>
      <c r="U20" s="55">
        <v>21.562</v>
      </c>
      <c r="V20" s="65">
        <v>21.418</v>
      </c>
      <c r="W20" s="198">
        <v>0.10755900000000002</v>
      </c>
      <c r="X20" s="55">
        <v>0.17</v>
      </c>
      <c r="Y20" s="198">
        <f t="shared" si="5"/>
        <v>0.056943</v>
      </c>
      <c r="Z20" s="196">
        <f t="shared" si="6"/>
        <v>0.09</v>
      </c>
      <c r="AA20" s="198">
        <f t="shared" si="7"/>
        <v>0.0288</v>
      </c>
      <c r="AB20" s="100">
        <v>0.06</v>
      </c>
    </row>
    <row r="21" spans="1:28" ht="12.75">
      <c r="A21" s="75" t="b">
        <f t="shared" si="0"/>
        <v>0</v>
      </c>
      <c r="B21" s="2">
        <v>3</v>
      </c>
      <c r="C21" s="2">
        <f>CHOOSE($B$26,$H$9,$I$9)</f>
        <v>221</v>
      </c>
      <c r="D21" s="2">
        <f t="shared" si="2"/>
        <v>0.8</v>
      </c>
      <c r="E21" s="2">
        <f t="shared" si="1"/>
        <v>0.46067852828566164</v>
      </c>
      <c r="F21" s="75">
        <v>16</v>
      </c>
      <c r="G21" s="78">
        <v>30</v>
      </c>
      <c r="H21" s="199">
        <f t="shared" si="4"/>
        <v>8840.09</v>
      </c>
      <c r="I21" s="200">
        <v>18041</v>
      </c>
      <c r="J21" s="139">
        <v>345.84128657313397</v>
      </c>
      <c r="K21" s="65">
        <v>29.376</v>
      </c>
      <c r="L21" s="65">
        <v>29.376</v>
      </c>
      <c r="M21" s="55" t="s">
        <v>99</v>
      </c>
      <c r="N21" s="55" t="s">
        <v>99</v>
      </c>
      <c r="O21" s="65">
        <v>29.25</v>
      </c>
      <c r="P21" s="65">
        <v>29.25</v>
      </c>
      <c r="Q21" s="79" t="s">
        <v>99</v>
      </c>
      <c r="R21" s="79" t="s">
        <v>99</v>
      </c>
      <c r="S21" s="65">
        <v>29</v>
      </c>
      <c r="T21" s="65">
        <v>29</v>
      </c>
      <c r="U21" s="55" t="s">
        <v>99</v>
      </c>
      <c r="V21" s="55" t="s">
        <v>99</v>
      </c>
      <c r="W21" s="198">
        <v>0.259407</v>
      </c>
      <c r="X21" s="55">
        <v>0.41</v>
      </c>
      <c r="Y21" s="198">
        <f t="shared" si="5"/>
        <v>0.0854145</v>
      </c>
      <c r="Z21" s="196">
        <f t="shared" si="6"/>
        <v>0.135</v>
      </c>
      <c r="AA21" s="198">
        <f t="shared" si="7"/>
        <v>0.043199999999999995</v>
      </c>
      <c r="AB21" s="100">
        <v>0.09</v>
      </c>
    </row>
    <row r="22" spans="1:28" ht="12.75">
      <c r="A22" s="75" t="b">
        <f t="shared" si="0"/>
        <v>1</v>
      </c>
      <c r="B22" s="2">
        <v>2.5</v>
      </c>
      <c r="C22" s="2">
        <f>CHOOSE($B$26,$H$8,$I$8)</f>
        <v>137</v>
      </c>
      <c r="D22" s="2">
        <f t="shared" si="2"/>
        <v>0.37</v>
      </c>
      <c r="E22" s="2">
        <f t="shared" si="1"/>
        <v>1.1987852309659546</v>
      </c>
      <c r="F22" s="75">
        <v>17</v>
      </c>
      <c r="G22" s="78">
        <v>36</v>
      </c>
      <c r="H22" s="199">
        <f t="shared" si="4"/>
        <v>12580.75</v>
      </c>
      <c r="I22" s="200">
        <v>25675</v>
      </c>
      <c r="J22" s="139">
        <v>370.9373590106629</v>
      </c>
      <c r="K22" s="65">
        <v>35.376</v>
      </c>
      <c r="L22" s="65">
        <v>35.376</v>
      </c>
      <c r="M22" s="55" t="s">
        <v>99</v>
      </c>
      <c r="N22" s="55" t="s">
        <v>99</v>
      </c>
      <c r="O22" s="65">
        <v>35.25</v>
      </c>
      <c r="P22" s="65">
        <v>35.25</v>
      </c>
      <c r="Q22" s="79" t="s">
        <v>99</v>
      </c>
      <c r="R22" s="79" t="s">
        <v>99</v>
      </c>
      <c r="S22" s="65">
        <v>35</v>
      </c>
      <c r="T22" s="65">
        <v>35</v>
      </c>
      <c r="U22" s="55" t="s">
        <v>99</v>
      </c>
      <c r="V22" s="55" t="s">
        <v>99</v>
      </c>
      <c r="W22" s="198">
        <v>0.12021300000000001</v>
      </c>
      <c r="X22" s="55">
        <v>0.19</v>
      </c>
      <c r="Y22" s="198">
        <f t="shared" si="5"/>
        <v>0.0664335</v>
      </c>
      <c r="Z22" s="196">
        <f t="shared" si="6"/>
        <v>0.10500000000000001</v>
      </c>
      <c r="AA22" s="198">
        <f t="shared" si="7"/>
        <v>0.033600000000000005</v>
      </c>
      <c r="AB22" s="100">
        <v>0.07</v>
      </c>
    </row>
    <row r="23" spans="1:28" ht="12.75">
      <c r="A23" s="75" t="b">
        <f t="shared" si="0"/>
        <v>1</v>
      </c>
      <c r="B23" s="2">
        <v>2</v>
      </c>
      <c r="C23" s="2">
        <f>CHOOSE($B$26,$H$7,$I$7)</f>
        <v>86</v>
      </c>
      <c r="D23" s="2">
        <f t="shared" si="2"/>
        <v>0.36</v>
      </c>
      <c r="E23" s="2">
        <f t="shared" si="1"/>
        <v>3.0421849648458625</v>
      </c>
      <c r="F23" s="75">
        <v>18</v>
      </c>
      <c r="G23" s="78">
        <v>42</v>
      </c>
      <c r="H23" s="199">
        <f t="shared" si="4"/>
        <v>22041.67</v>
      </c>
      <c r="I23" s="200">
        <v>44983</v>
      </c>
      <c r="J23" s="139">
        <v>480.1110566190837</v>
      </c>
      <c r="K23" s="55" t="s">
        <v>99</v>
      </c>
      <c r="L23" s="55" t="s">
        <v>99</v>
      </c>
      <c r="M23" s="55" t="s">
        <v>99</v>
      </c>
      <c r="N23" s="55" t="s">
        <v>99</v>
      </c>
      <c r="O23" s="65">
        <v>41.25</v>
      </c>
      <c r="P23" s="65">
        <v>41.25</v>
      </c>
      <c r="Q23" s="79" t="s">
        <v>99</v>
      </c>
      <c r="R23" s="79" t="s">
        <v>99</v>
      </c>
      <c r="S23" s="65">
        <v>41</v>
      </c>
      <c r="T23" s="65">
        <v>41</v>
      </c>
      <c r="U23" s="55" t="s">
        <v>99</v>
      </c>
      <c r="V23" s="55" t="s">
        <v>99</v>
      </c>
      <c r="W23" s="198">
        <v>0.158175</v>
      </c>
      <c r="X23" s="55">
        <v>0.25</v>
      </c>
      <c r="Y23" s="198">
        <f t="shared" si="5"/>
        <v>0.0284715</v>
      </c>
      <c r="Z23" s="196">
        <f t="shared" si="6"/>
        <v>0.045</v>
      </c>
      <c r="AA23" s="198">
        <f t="shared" si="7"/>
        <v>0.0144</v>
      </c>
      <c r="AB23" s="100">
        <v>0.03</v>
      </c>
    </row>
    <row r="24" spans="1:28" ht="12.75">
      <c r="A24" s="43" t="b">
        <f t="shared" si="0"/>
        <v>1</v>
      </c>
      <c r="B24" s="77">
        <v>1.5</v>
      </c>
      <c r="C24" s="77">
        <f>CHOOSE($B$26,$H$6,$I$6)</f>
        <v>38</v>
      </c>
      <c r="D24" s="2">
        <f t="shared" si="2"/>
        <v>2.39</v>
      </c>
      <c r="E24" s="77">
        <f t="shared" si="1"/>
        <v>15.581717451523545</v>
      </c>
      <c r="F24" s="43">
        <v>19</v>
      </c>
      <c r="G24" s="80">
        <v>48</v>
      </c>
      <c r="H24" s="199">
        <f t="shared" si="4"/>
        <v>23477.86</v>
      </c>
      <c r="I24" s="200">
        <v>47914</v>
      </c>
      <c r="J24" s="140">
        <v>842.6923913168092</v>
      </c>
      <c r="K24" s="82" t="s">
        <v>99</v>
      </c>
      <c r="L24" s="82" t="s">
        <v>99</v>
      </c>
      <c r="M24" s="82" t="s">
        <v>99</v>
      </c>
      <c r="N24" s="82" t="s">
        <v>99</v>
      </c>
      <c r="O24" s="84">
        <v>47.25</v>
      </c>
      <c r="P24" s="84">
        <v>47.25</v>
      </c>
      <c r="Q24" s="81" t="s">
        <v>99</v>
      </c>
      <c r="R24" s="81" t="s">
        <v>99</v>
      </c>
      <c r="S24" s="84">
        <v>47</v>
      </c>
      <c r="T24" s="84">
        <v>47</v>
      </c>
      <c r="U24" s="82" t="s">
        <v>99</v>
      </c>
      <c r="V24" s="82" t="s">
        <v>99</v>
      </c>
      <c r="W24" s="198">
        <v>0.227772</v>
      </c>
      <c r="X24" s="82">
        <v>0.36</v>
      </c>
      <c r="Y24" s="198">
        <f t="shared" si="5"/>
        <v>0.39860100000000004</v>
      </c>
      <c r="Z24" s="196">
        <f t="shared" si="6"/>
        <v>0.63</v>
      </c>
      <c r="AA24" s="198">
        <f t="shared" si="7"/>
        <v>0.20159999999999997</v>
      </c>
      <c r="AB24" s="101">
        <v>0.42</v>
      </c>
    </row>
    <row r="26" spans="1:2" ht="12.75">
      <c r="A26" s="126">
        <f>VLOOKUP(TRUE,A6:B24,2,FALSE)</f>
        <v>2.5</v>
      </c>
      <c r="B26">
        <v>2</v>
      </c>
    </row>
    <row r="27" spans="1:2" ht="12.75">
      <c r="A27" s="126">
        <f>VLOOKUP(TRUE,A$6:$C$24,3,FALSE)</f>
        <v>137</v>
      </c>
      <c r="B27">
        <v>2</v>
      </c>
    </row>
    <row r="28" spans="1:2" ht="12.75">
      <c r="A28" s="137">
        <f>VLOOKUP(TRUE,A$6:$E$24,5,FALSE)</f>
        <v>1.1987852309659546</v>
      </c>
      <c r="B28" s="3"/>
    </row>
    <row r="29" spans="1:3" ht="12.75">
      <c r="A29" s="187">
        <f>VLOOKUP(C31,F6:G24,2)</f>
        <v>2.5</v>
      </c>
      <c r="B29" s="167"/>
      <c r="C29" s="74"/>
    </row>
    <row r="30" spans="1:3" ht="12.75">
      <c r="A30" s="75"/>
      <c r="B30" s="2"/>
      <c r="C30" s="76"/>
    </row>
    <row r="31" spans="1:3" ht="12.75">
      <c r="A31" s="165"/>
      <c r="B31" s="166">
        <v>1</v>
      </c>
      <c r="C31" s="174">
        <v>3</v>
      </c>
    </row>
    <row r="32" spans="1:3" ht="12.75">
      <c r="A32" s="168" t="s">
        <v>29</v>
      </c>
      <c r="B32" s="76"/>
      <c r="C32" s="76"/>
    </row>
    <row r="33" spans="1:3" ht="15">
      <c r="A33" s="134">
        <v>10</v>
      </c>
      <c r="B33" s="76"/>
      <c r="C33" s="76"/>
    </row>
    <row r="34" spans="1:3" ht="15">
      <c r="A34" s="134">
        <v>40</v>
      </c>
      <c r="B34" s="76"/>
      <c r="C34" s="76"/>
    </row>
    <row r="35" spans="1:3" ht="15">
      <c r="A35" s="169">
        <v>80</v>
      </c>
      <c r="B35" s="170"/>
      <c r="C35" s="170"/>
    </row>
    <row r="40" spans="1:2" ht="12.75">
      <c r="A40" s="172" t="s">
        <v>28</v>
      </c>
      <c r="B40" s="173">
        <v>1</v>
      </c>
    </row>
    <row r="41" spans="1:11" ht="12.75">
      <c r="A41" s="168" t="s">
        <v>24</v>
      </c>
      <c r="B41" s="76"/>
      <c r="K41" t="s">
        <v>140</v>
      </c>
    </row>
    <row r="42" spans="1:2" ht="12.75">
      <c r="A42" s="168" t="s">
        <v>25</v>
      </c>
      <c r="B42" s="76"/>
    </row>
    <row r="43" spans="1:2" ht="12.75">
      <c r="A43" s="168" t="s">
        <v>26</v>
      </c>
      <c r="B43" s="76"/>
    </row>
    <row r="44" spans="1:2" ht="12.75">
      <c r="A44" s="135" t="s">
        <v>27</v>
      </c>
      <c r="B44" s="170"/>
    </row>
    <row r="48" ht="12.75">
      <c r="L48">
        <f>1360*1360</f>
        <v>1849600</v>
      </c>
    </row>
    <row r="50" ht="12.75">
      <c r="A50" t="s">
        <v>73</v>
      </c>
    </row>
    <row r="51" spans="1:15" ht="12.75">
      <c r="A51" t="s">
        <v>14</v>
      </c>
      <c r="B51" t="s">
        <v>175</v>
      </c>
      <c r="C51" t="s">
        <v>21</v>
      </c>
      <c r="D51" t="s">
        <v>9</v>
      </c>
      <c r="E51" t="s">
        <v>10</v>
      </c>
      <c r="F51" t="s">
        <v>11</v>
      </c>
      <c r="G51" t="s">
        <v>173</v>
      </c>
      <c r="H51" t="s">
        <v>12</v>
      </c>
      <c r="I51" t="s">
        <v>13</v>
      </c>
      <c r="L51" s="217"/>
      <c r="M51" s="217"/>
      <c r="N51" s="217"/>
      <c r="O51" s="217"/>
    </row>
    <row r="53" spans="1:9" ht="12.75">
      <c r="A53" t="b">
        <f aca="true" t="shared" si="8" ref="A53:A71">I53&gt;F53</f>
        <v>0</v>
      </c>
      <c r="B53" t="b">
        <f aca="true" t="shared" si="9" ref="B53:B71">I53&gt;G53</f>
        <v>0</v>
      </c>
      <c r="C53" t="b">
        <f aca="true" t="shared" si="10" ref="C53:C71">I53&gt;H53</f>
        <v>0</v>
      </c>
      <c r="D53">
        <v>48</v>
      </c>
      <c r="E53" s="2">
        <f>CHOOSE($B$26,$H$24,$I$24)</f>
        <v>47914</v>
      </c>
      <c r="F53">
        <f>CHOOSE($F$75,W$24,X$24)</f>
        <v>0.227772</v>
      </c>
      <c r="G53" s="197">
        <f>CHOOSE($F$75,Y$24,Z$24)</f>
        <v>0.39860100000000004</v>
      </c>
      <c r="H53" s="197">
        <f>CHOOSE($F$75,AA$24,AB$24)</f>
        <v>0.20159999999999997</v>
      </c>
      <c r="I53" s="138">
        <f aca="true" t="shared" si="11" ref="I53:I71">$D$101*$D$101*$O$101*$H$101/1849600/E53/E53/$B$101</f>
        <v>3.5371270109832976E-09</v>
      </c>
    </row>
    <row r="54" spans="1:9" ht="12.75">
      <c r="A54" t="b">
        <f t="shared" si="8"/>
        <v>0</v>
      </c>
      <c r="B54" t="b">
        <f t="shared" si="9"/>
        <v>0</v>
      </c>
      <c r="C54" t="b">
        <f t="shared" si="10"/>
        <v>0</v>
      </c>
      <c r="D54">
        <v>42</v>
      </c>
      <c r="E54" s="2">
        <f>CHOOSE($B$26,$H$23,$I$23)</f>
        <v>44983</v>
      </c>
      <c r="F54">
        <f>CHOOSE($F$75,$W$23,$X$23)</f>
        <v>0.158175</v>
      </c>
      <c r="G54" s="197">
        <f>CHOOSE($F$75,$Y$23,$Z$23)</f>
        <v>0.0284715</v>
      </c>
      <c r="H54" s="197">
        <f>CHOOSE($F$75,$AA$23,$AB$23)</f>
        <v>0.0144</v>
      </c>
      <c r="I54" s="138">
        <f t="shared" si="11"/>
        <v>4.01308796943458E-09</v>
      </c>
    </row>
    <row r="55" spans="1:9" ht="12.75">
      <c r="A55" t="b">
        <f t="shared" si="8"/>
        <v>0</v>
      </c>
      <c r="B55" t="b">
        <f t="shared" si="9"/>
        <v>0</v>
      </c>
      <c r="C55" t="b">
        <f t="shared" si="10"/>
        <v>0</v>
      </c>
      <c r="D55">
        <v>36</v>
      </c>
      <c r="E55" s="2">
        <f>CHOOSE($B$26,$H$22,$I$22)</f>
        <v>25675</v>
      </c>
      <c r="F55">
        <f>CHOOSE($F$75,$W$22,$X$22)</f>
        <v>0.12021300000000001</v>
      </c>
      <c r="G55" s="197">
        <f>CHOOSE($F$75,$Y$22,$Z$22)</f>
        <v>0.0664335</v>
      </c>
      <c r="H55" s="197">
        <f>CHOOSE($F$75,$AA$22,$AB$22)</f>
        <v>0.033600000000000005</v>
      </c>
      <c r="I55" s="138">
        <f t="shared" si="11"/>
        <v>1.2318408650251146E-08</v>
      </c>
    </row>
    <row r="56" spans="1:9" ht="12.75">
      <c r="A56" t="b">
        <f t="shared" si="8"/>
        <v>0</v>
      </c>
      <c r="B56" t="b">
        <f t="shared" si="9"/>
        <v>0</v>
      </c>
      <c r="C56" t="b">
        <f t="shared" si="10"/>
        <v>0</v>
      </c>
      <c r="D56">
        <v>30</v>
      </c>
      <c r="E56" s="2">
        <f>CHOOSE($B$26,$H$21,$I$21)</f>
        <v>18041</v>
      </c>
      <c r="F56">
        <f>CHOOSE($F$75,$W$21,$X$21)</f>
        <v>0.259407</v>
      </c>
      <c r="G56" s="197">
        <f>CHOOSE($F$75,$Y$21,$Z$21)</f>
        <v>0.0854145</v>
      </c>
      <c r="H56" s="197">
        <f>CHOOSE($F$75,$AA$21,$AB$21)</f>
        <v>0.043199999999999995</v>
      </c>
      <c r="I56" s="138">
        <f t="shared" si="11"/>
        <v>2.4949066394799014E-08</v>
      </c>
    </row>
    <row r="57" spans="1:15" ht="12.75">
      <c r="A57" t="b">
        <f t="shared" si="8"/>
        <v>0</v>
      </c>
      <c r="B57" t="b">
        <f t="shared" si="9"/>
        <v>0</v>
      </c>
      <c r="C57" t="b">
        <f t="shared" si="10"/>
        <v>0</v>
      </c>
      <c r="D57">
        <v>24</v>
      </c>
      <c r="E57" s="2">
        <f>CHOOSE($B$26,$H$20,$I$20)</f>
        <v>10105</v>
      </c>
      <c r="F57">
        <f>CHOOSE($F$75,$W$20,$X$20)</f>
        <v>0.10755900000000002</v>
      </c>
      <c r="G57" s="197">
        <f>CHOOSE($F$75,$Y$20,$Z$20)</f>
        <v>0.056943</v>
      </c>
      <c r="H57" s="197">
        <f>CHOOSE($F$75,$AA$20,$AB$20)</f>
        <v>0.0288</v>
      </c>
      <c r="I57" s="138">
        <f t="shared" si="11"/>
        <v>7.952485320066283E-08</v>
      </c>
      <c r="L57" s="217"/>
      <c r="M57" s="217"/>
      <c r="N57" s="217"/>
      <c r="O57" s="217"/>
    </row>
    <row r="58" spans="1:9" ht="12.75">
      <c r="A58" t="b">
        <f t="shared" si="8"/>
        <v>0</v>
      </c>
      <c r="B58" t="b">
        <f t="shared" si="9"/>
        <v>0</v>
      </c>
      <c r="C58" t="b">
        <f t="shared" si="10"/>
        <v>0</v>
      </c>
      <c r="D58">
        <v>20</v>
      </c>
      <c r="E58" s="2">
        <f>CHOOSE($B$26,$H$19,$I$19)</f>
        <v>7769</v>
      </c>
      <c r="F58">
        <f>CHOOSE($F$75,$W$19,$X$19)</f>
        <v>0.164502</v>
      </c>
      <c r="G58" s="197">
        <f>CHOOSE($F$75,$Y$19,$Z$19)</f>
        <v>0.0664335</v>
      </c>
      <c r="H58" s="197">
        <f>CHOOSE($F$75,$AA$19,$AB$19)</f>
        <v>0.033600000000000005</v>
      </c>
      <c r="I58" s="138">
        <f t="shared" si="11"/>
        <v>1.3453809342814398E-07</v>
      </c>
    </row>
    <row r="59" spans="1:9" ht="12.75">
      <c r="A59" t="b">
        <f t="shared" si="8"/>
        <v>0</v>
      </c>
      <c r="B59" t="b">
        <f t="shared" si="9"/>
        <v>0</v>
      </c>
      <c r="C59" t="b">
        <f t="shared" si="10"/>
        <v>0</v>
      </c>
      <c r="D59">
        <v>18</v>
      </c>
      <c r="E59" s="2">
        <f>CHOOSE($B$26,$H$18,$I$18)</f>
        <v>5799</v>
      </c>
      <c r="F59">
        <f>CHOOSE($F$75,$W$18,$X$18)</f>
        <v>0.164502</v>
      </c>
      <c r="G59" s="197">
        <f>CHOOSE($F$75,$Y$18,$Z$18)</f>
        <v>0.056943</v>
      </c>
      <c r="H59" s="197">
        <f>CHOOSE($F$75,$AA$18,$AB$18)</f>
        <v>0.0288</v>
      </c>
      <c r="I59" s="138">
        <f t="shared" si="11"/>
        <v>2.4147339843170696E-07</v>
      </c>
    </row>
    <row r="60" spans="1:9" ht="12.75">
      <c r="A60" t="b">
        <f t="shared" si="8"/>
        <v>0</v>
      </c>
      <c r="B60" t="b">
        <f t="shared" si="9"/>
        <v>0</v>
      </c>
      <c r="C60" t="b">
        <f t="shared" si="10"/>
        <v>0</v>
      </c>
      <c r="D60">
        <v>16</v>
      </c>
      <c r="E60" s="2">
        <f>CHOOSE($B$26,$H$17,$I$17)</f>
        <v>3911</v>
      </c>
      <c r="F60">
        <f>CHOOSE($F$75,$W$17,$X$17)</f>
        <v>0.082251</v>
      </c>
      <c r="G60" s="197">
        <f>CHOOSE($F$75,$Y$17,$Z$17)</f>
        <v>0.037962</v>
      </c>
      <c r="H60" s="197">
        <f>CHOOSE($F$75,$AA$17,$AB$17)</f>
        <v>0.0192</v>
      </c>
      <c r="I60" s="138">
        <f t="shared" si="11"/>
        <v>5.308842974080616E-07</v>
      </c>
    </row>
    <row r="61" spans="1:9" ht="12.75">
      <c r="A61" t="b">
        <f t="shared" si="8"/>
        <v>0</v>
      </c>
      <c r="B61" t="b">
        <f t="shared" si="9"/>
        <v>0</v>
      </c>
      <c r="C61" t="b">
        <f t="shared" si="10"/>
        <v>0</v>
      </c>
      <c r="D61">
        <v>14</v>
      </c>
      <c r="E61" s="2">
        <f>CHOOSE($B$26,$H$16,$I$16)</f>
        <v>3226</v>
      </c>
      <c r="F61">
        <f>CHOOSE($F$75,$W$16,$X$16)</f>
        <v>0.094905</v>
      </c>
      <c r="G61" s="197">
        <f>CHOOSE($F$75,$Y$16,$Z$16)</f>
        <v>0.04745250000000001</v>
      </c>
      <c r="H61" s="197">
        <f>CHOOSE($F$75,$AA$16,$AB$16)</f>
        <v>0.024</v>
      </c>
      <c r="I61" s="138">
        <f t="shared" si="11"/>
        <v>7.802733710500636E-07</v>
      </c>
    </row>
    <row r="62" spans="1:9" ht="12.75">
      <c r="A62" t="b">
        <f t="shared" si="8"/>
        <v>0</v>
      </c>
      <c r="B62" t="b">
        <f t="shared" si="9"/>
        <v>0</v>
      </c>
      <c r="C62" t="b">
        <f t="shared" si="10"/>
        <v>0</v>
      </c>
      <c r="D62">
        <v>12</v>
      </c>
      <c r="E62" s="2">
        <f>CHOOSE($B$26,$H$15,$I$15)</f>
        <v>3206</v>
      </c>
      <c r="F62">
        <f>CHOOSE($F$75,$W$15,$X$15)</f>
        <v>0.11</v>
      </c>
      <c r="G62">
        <f>CHOOSE($F$75,$Y$15,$Z$15)</f>
        <v>0.07</v>
      </c>
      <c r="H62">
        <f>CHOOSE($F$75,$AA$15,$AB$15)</f>
        <v>0.06</v>
      </c>
      <c r="I62" s="138">
        <f t="shared" si="11"/>
        <v>7.900389002076009E-07</v>
      </c>
    </row>
    <row r="63" spans="1:9" ht="12.75">
      <c r="A63" t="b">
        <f t="shared" si="8"/>
        <v>0</v>
      </c>
      <c r="B63" t="b">
        <f t="shared" si="9"/>
        <v>0</v>
      </c>
      <c r="C63" t="b">
        <f t="shared" si="10"/>
        <v>0</v>
      </c>
      <c r="D63">
        <v>10</v>
      </c>
      <c r="E63" s="2">
        <f>CHOOSE($B$26,$H$14,$I$14)</f>
        <v>2623</v>
      </c>
      <c r="F63">
        <f>CHOOSE($F$75,$W$14,$X$14)</f>
        <v>0.08</v>
      </c>
      <c r="G63">
        <f>CHOOSE($F$75,$Y$14,$Z$14)</f>
        <v>0.05</v>
      </c>
      <c r="H63">
        <f>CHOOSE($F$75,$AA$14,$AB$14)</f>
        <v>0.03</v>
      </c>
      <c r="I63" s="138">
        <f t="shared" si="11"/>
        <v>1.1802633749009956E-06</v>
      </c>
    </row>
    <row r="64" spans="1:9" ht="12.75">
      <c r="A64" t="b">
        <f t="shared" si="8"/>
        <v>0</v>
      </c>
      <c r="B64" t="b">
        <f t="shared" si="9"/>
        <v>0</v>
      </c>
      <c r="C64" t="b">
        <f t="shared" si="10"/>
        <v>0</v>
      </c>
      <c r="D64">
        <v>8</v>
      </c>
      <c r="E64" s="2">
        <f>CHOOSE($B$26,$H$13,$I$13)</f>
        <v>1440</v>
      </c>
      <c r="F64">
        <f>CHOOSE($F$75,$W$13,$X$13)</f>
        <v>0.11</v>
      </c>
      <c r="G64">
        <f>CHOOSE($F$75,$Y$13,$Z$13)</f>
        <v>0.06</v>
      </c>
      <c r="H64">
        <f>CHOOSE($F$75,$AA$13,$AB$13)</f>
        <v>0.03</v>
      </c>
      <c r="I64" s="138">
        <f t="shared" si="11"/>
        <v>3.916070733648829E-06</v>
      </c>
    </row>
    <row r="65" spans="1:9" ht="12.75">
      <c r="A65" t="b">
        <f t="shared" si="8"/>
        <v>0</v>
      </c>
      <c r="B65" t="b">
        <f t="shared" si="9"/>
        <v>0</v>
      </c>
      <c r="C65" t="b">
        <f t="shared" si="10"/>
        <v>0</v>
      </c>
      <c r="D65">
        <v>6</v>
      </c>
      <c r="E65" s="2">
        <f>CHOOSE($B$26,$H$12,$I$12)</f>
        <v>931</v>
      </c>
      <c r="F65">
        <f>CHOOSE($F$75,$W$12,$X$12)</f>
        <v>0.2</v>
      </c>
      <c r="G65">
        <f>CHOOSE($F$75,$Y$12,$Z$12)</f>
        <v>0.05</v>
      </c>
      <c r="H65">
        <f>CHOOSE($F$75,$AA$12,$AB$12)</f>
        <v>0.04</v>
      </c>
      <c r="I65" s="138">
        <f t="shared" si="11"/>
        <v>9.36863134508153E-06</v>
      </c>
    </row>
    <row r="66" spans="1:9" ht="12.75">
      <c r="A66" t="b">
        <f t="shared" si="8"/>
        <v>0</v>
      </c>
      <c r="B66" t="b">
        <f t="shared" si="9"/>
        <v>0</v>
      </c>
      <c r="C66" t="b">
        <f t="shared" si="10"/>
        <v>0</v>
      </c>
      <c r="D66">
        <v>5</v>
      </c>
      <c r="E66" s="2">
        <f>CHOOSE($B$26,$H$11,$I$11)</f>
        <v>679</v>
      </c>
      <c r="F66">
        <f>CHOOSE($F$75,$W$11,$X$11)</f>
        <v>0.19</v>
      </c>
      <c r="G66">
        <f>CHOOSE($F$75,$Y$11,$Z$11)</f>
        <v>0.05</v>
      </c>
      <c r="H66">
        <f>CHOOSE($F$75,$AA$11,$AB$11)</f>
        <v>0.04</v>
      </c>
      <c r="I66" s="138">
        <f t="shared" si="11"/>
        <v>1.7613106585518886E-05</v>
      </c>
    </row>
    <row r="67" spans="1:9" ht="12.75">
      <c r="A67" t="b">
        <f t="shared" si="8"/>
        <v>0</v>
      </c>
      <c r="B67" t="b">
        <f t="shared" si="9"/>
        <v>0</v>
      </c>
      <c r="C67" t="b">
        <f t="shared" si="10"/>
        <v>0</v>
      </c>
      <c r="D67">
        <v>4</v>
      </c>
      <c r="E67" s="2">
        <f>CHOOSE($B$26,$H$10,$I$10)</f>
        <v>381</v>
      </c>
      <c r="F67">
        <f>CHOOSE($F$75,$W$10,$X$10)</f>
        <v>0.14</v>
      </c>
      <c r="G67">
        <f>CHOOSE($F$75,$Y$10,$Z$10)</f>
        <v>0.08</v>
      </c>
      <c r="H67">
        <f>CHOOSE($F$75,$AA$10,$AB$10)</f>
        <v>0.04</v>
      </c>
      <c r="I67" s="138">
        <f t="shared" si="11"/>
        <v>5.5940399096824995E-05</v>
      </c>
    </row>
    <row r="68" spans="1:9" ht="12.75">
      <c r="A68" t="b">
        <f t="shared" si="8"/>
        <v>0</v>
      </c>
      <c r="B68" t="b">
        <f t="shared" si="9"/>
        <v>0</v>
      </c>
      <c r="C68" t="b">
        <f t="shared" si="10"/>
        <v>0</v>
      </c>
      <c r="D68">
        <v>3</v>
      </c>
      <c r="E68" s="2">
        <f>CHOOSE($B$26,$H$9,$I$9)</f>
        <v>221</v>
      </c>
      <c r="F68">
        <f>CHOOSE($F$75,$W$9,$X$9)</f>
        <v>0.31</v>
      </c>
      <c r="G68">
        <f>CHOOSE($F$75,$Y$9,$Z$9)</f>
        <v>0.08</v>
      </c>
      <c r="H68">
        <f>CHOOSE($F$75,$AA$9,$AB$9)</f>
        <v>0.03</v>
      </c>
      <c r="I68" s="138">
        <f t="shared" si="11"/>
        <v>0.00016626122055842863</v>
      </c>
    </row>
    <row r="69" spans="1:9" ht="12.75">
      <c r="A69" t="b">
        <f t="shared" si="8"/>
        <v>0</v>
      </c>
      <c r="B69" t="b">
        <f t="shared" si="9"/>
        <v>0</v>
      </c>
      <c r="C69" t="b">
        <f t="shared" si="10"/>
        <v>0</v>
      </c>
      <c r="D69">
        <v>2.5</v>
      </c>
      <c r="E69" s="2">
        <f>CHOOSE($B$26,$H$8,$I$8)</f>
        <v>137</v>
      </c>
      <c r="F69">
        <f>CHOOSE($F$75,$W$8,$X$8)</f>
        <v>0.16</v>
      </c>
      <c r="G69">
        <f>CHOOSE($F$75,$Y$8,$Z$8)</f>
        <v>0.05</v>
      </c>
      <c r="H69">
        <f>CHOOSE($F$75,$AA$8,$AB$8)</f>
        <v>0.02</v>
      </c>
      <c r="I69" s="138">
        <f t="shared" si="11"/>
        <v>0.0004326476782617195</v>
      </c>
    </row>
    <row r="70" spans="1:9" ht="12.75">
      <c r="A70" t="b">
        <f t="shared" si="8"/>
        <v>0</v>
      </c>
      <c r="B70" t="b">
        <f t="shared" si="9"/>
        <v>0</v>
      </c>
      <c r="C70" t="b">
        <f t="shared" si="10"/>
        <v>0</v>
      </c>
      <c r="D70">
        <v>2</v>
      </c>
      <c r="E70" s="2">
        <f>CHOOSE($B$26,$H$7,$I$7)</f>
        <v>86</v>
      </c>
      <c r="F70">
        <f>CHOOSE($F$75,$W$7,$X$7)</f>
        <v>0.22</v>
      </c>
      <c r="G70">
        <f>CHOOSE($F$75,$Y$7,$Z$7)</f>
        <v>0.17</v>
      </c>
      <c r="H70">
        <f>CHOOSE($F$75,$AA$7,$AB$7)</f>
        <v>0.02</v>
      </c>
      <c r="I70" s="138">
        <f t="shared" si="11"/>
        <v>0.0010979400045016512</v>
      </c>
    </row>
    <row r="71" spans="1:9" ht="12.75">
      <c r="A71" t="b">
        <f t="shared" si="8"/>
        <v>0</v>
      </c>
      <c r="B71" t="b">
        <f t="shared" si="9"/>
        <v>0</v>
      </c>
      <c r="C71" t="b">
        <f t="shared" si="10"/>
        <v>0</v>
      </c>
      <c r="D71">
        <v>1.5</v>
      </c>
      <c r="E71" s="77">
        <f>CHOOSE($B$26,$H$6,$I$6)</f>
        <v>38</v>
      </c>
      <c r="F71">
        <f>CHOOSE($F$75,$W$6,$X$6)</f>
        <v>1.512153</v>
      </c>
      <c r="G71">
        <f>CHOOSE($F$75,$Y$6,$Z$6)</f>
        <v>1.1271</v>
      </c>
      <c r="H71">
        <f>CHOOSE($F$75,$AA$6,$AB$6)</f>
        <v>0.265734</v>
      </c>
      <c r="I71" s="138">
        <f t="shared" si="11"/>
        <v>0.005623520964885188</v>
      </c>
    </row>
    <row r="73" spans="1:6" ht="15">
      <c r="A73" s="130" t="e">
        <f>VLOOKUP(TRUE,A$53:$D$71,4,FALSE)</f>
        <v>#N/A</v>
      </c>
      <c r="B73" s="130" t="e">
        <f>VLOOKUP(TRUE,B$53:$D$71,3,FALSE)</f>
        <v>#N/A</v>
      </c>
      <c r="C73" s="130" t="e">
        <f>VLOOKUP(TRUE,C$53:$D$71,2,FALSE)</f>
        <v>#N/A</v>
      </c>
      <c r="E73" s="133" t="s">
        <v>42</v>
      </c>
      <c r="F73" s="130" t="s">
        <v>116</v>
      </c>
    </row>
    <row r="74" spans="1:6" ht="15">
      <c r="A74" s="105" t="e">
        <f>VLOOKUP(TRUE,A$53:$E$71,5,FALSE)</f>
        <v>#N/A</v>
      </c>
      <c r="B74" s="105" t="e">
        <f>VLOOKUP(TRUE,B$53:$E$71,4,FALSE)</f>
        <v>#N/A</v>
      </c>
      <c r="C74" s="105" t="e">
        <f>VLOOKUP(TRUE,C$53:$E$71,3,FALSE)</f>
        <v>#N/A</v>
      </c>
      <c r="E74" s="134" t="s">
        <v>174</v>
      </c>
      <c r="F74" s="105" t="s">
        <v>115</v>
      </c>
    </row>
    <row r="75" spans="1:6" ht="15">
      <c r="A75" s="131" t="e">
        <f>VLOOKUP(TRUE,A$53:$I$71,9,FALSE)</f>
        <v>#N/A</v>
      </c>
      <c r="B75" s="131" t="e">
        <f>VLOOKUP(TRUE,B$53:$I$71,8,FALSE)</f>
        <v>#N/A</v>
      </c>
      <c r="C75" s="132" t="e">
        <f>VLOOKUP(TRUE,C$53:$I$71,7,FALSE)</f>
        <v>#N/A</v>
      </c>
      <c r="E75" s="134" t="s">
        <v>43</v>
      </c>
      <c r="F75" s="105">
        <v>1</v>
      </c>
    </row>
    <row r="76" spans="1:6" ht="12.75">
      <c r="A76" s="103">
        <f>VLOOKUP(A77,$F$6:$G$24,2,FALSE)</f>
        <v>1.5</v>
      </c>
      <c r="B76" s="85"/>
      <c r="C76" s="85"/>
      <c r="E76" s="135">
        <v>3</v>
      </c>
      <c r="F76" s="136">
        <v>2</v>
      </c>
    </row>
    <row r="77" spans="1:11" ht="12.75">
      <c r="A77" s="104">
        <v>1</v>
      </c>
      <c r="B77" s="85"/>
      <c r="C77" s="85"/>
      <c r="K77">
        <v>1</v>
      </c>
    </row>
    <row r="78" spans="1:2" ht="12.75">
      <c r="A78" s="105">
        <f>VLOOKUP($A$77,$F$6:$V$24,((B80*4)+B89+1))</f>
        <v>1.61</v>
      </c>
      <c r="B78" s="105">
        <f>VLOOKUP($A$77,$F$6:$J$24,5)</f>
        <v>0.9940195505498954</v>
      </c>
    </row>
    <row r="79" spans="1:2" ht="12.75">
      <c r="A79" s="105"/>
      <c r="B79" s="126"/>
    </row>
    <row r="80" spans="1:8" ht="12.75">
      <c r="A80" s="128" t="s">
        <v>29</v>
      </c>
      <c r="B80" s="129">
        <v>2</v>
      </c>
      <c r="H80" s="18"/>
    </row>
    <row r="81" spans="1:8" ht="15">
      <c r="A81" s="4"/>
      <c r="H81" s="18"/>
    </row>
    <row r="82" ht="15">
      <c r="A82" s="4"/>
    </row>
    <row r="83" spans="1:7" ht="15">
      <c r="A83" s="4"/>
      <c r="G83" t="s">
        <v>49</v>
      </c>
    </row>
    <row r="84" ht="12.75">
      <c r="G84" t="s">
        <v>50</v>
      </c>
    </row>
    <row r="86" ht="12.75">
      <c r="G86" t="s">
        <v>55</v>
      </c>
    </row>
    <row r="87" ht="12.75">
      <c r="G87" t="s">
        <v>56</v>
      </c>
    </row>
    <row r="88" spans="1:7" ht="12.75">
      <c r="A88" s="126" t="s">
        <v>28</v>
      </c>
      <c r="B88" s="126"/>
      <c r="G88" t="s">
        <v>57</v>
      </c>
    </row>
    <row r="89" spans="1:7" ht="12.75">
      <c r="A89" s="126" t="s">
        <v>24</v>
      </c>
      <c r="B89" s="126">
        <v>2</v>
      </c>
      <c r="G89" t="s">
        <v>108</v>
      </c>
    </row>
    <row r="90" spans="1:7" ht="12.75">
      <c r="A90" s="126" t="s">
        <v>25</v>
      </c>
      <c r="B90" s="126"/>
      <c r="G90" t="s">
        <v>58</v>
      </c>
    </row>
    <row r="91" spans="1:7" ht="12.75">
      <c r="A91" s="126" t="s">
        <v>26</v>
      </c>
      <c r="B91" s="126"/>
      <c r="G91" t="s">
        <v>107</v>
      </c>
    </row>
    <row r="92" spans="1:2" ht="12.75">
      <c r="A92" s="126" t="s">
        <v>27</v>
      </c>
      <c r="B92" s="126"/>
    </row>
    <row r="94" ht="12.75">
      <c r="C94" s="91"/>
    </row>
    <row r="99" spans="1:17" ht="12.75">
      <c r="A99" s="218" t="s">
        <v>127</v>
      </c>
      <c r="B99" s="219"/>
      <c r="C99" s="219"/>
      <c r="D99" s="219"/>
      <c r="E99" s="219"/>
      <c r="F99" s="219"/>
      <c r="G99" s="219"/>
      <c r="H99" s="220"/>
      <c r="K99" s="218" t="s">
        <v>100</v>
      </c>
      <c r="L99" s="219"/>
      <c r="M99" s="219"/>
      <c r="N99" s="219"/>
      <c r="O99" s="219"/>
      <c r="P99" s="219"/>
      <c r="Q99" s="220"/>
    </row>
    <row r="100" spans="1:17" ht="12.75">
      <c r="A100" s="1">
        <v>6</v>
      </c>
      <c r="B100" s="1"/>
      <c r="C100" s="1">
        <v>3</v>
      </c>
      <c r="D100" s="1"/>
      <c r="E100" s="1">
        <v>3</v>
      </c>
      <c r="F100" s="1"/>
      <c r="G100" s="1">
        <v>1</v>
      </c>
      <c r="H100" s="1"/>
      <c r="K100" s="14"/>
      <c r="L100" s="14" t="s">
        <v>73</v>
      </c>
      <c r="M100" s="14" t="s">
        <v>117</v>
      </c>
      <c r="N100" s="14" t="s">
        <v>92</v>
      </c>
      <c r="O100" s="14" t="s">
        <v>93</v>
      </c>
      <c r="P100" s="14" t="s">
        <v>71</v>
      </c>
      <c r="Q100" s="14" t="s">
        <v>118</v>
      </c>
    </row>
    <row r="101" spans="1:17" ht="14.25">
      <c r="A101" s="41" t="s">
        <v>105</v>
      </c>
      <c r="B101" s="49">
        <f>CHOOSE(A100,B102,B103,B104,B105,B106,B107,B108,B109,B110,B111,B112,B113,B114,B115,B116,B117,B118,B119)</f>
        <v>33.55</v>
      </c>
      <c r="C101" s="41" t="s">
        <v>104</v>
      </c>
      <c r="D101" s="58">
        <f>CHOOSE(C100,D102,D103,D104,D105,D106,D107,D108,D109,D110,D111,D112)</f>
        <v>795.1780403632373</v>
      </c>
      <c r="E101" s="41" t="s">
        <v>103</v>
      </c>
      <c r="F101" s="58">
        <f>CHOOSE(E100,F102,F103,F104,F105,F106,F107,F108,F109,F110,F111,F112)</f>
        <v>795.1780403632373</v>
      </c>
      <c r="G101" s="160" t="s">
        <v>106</v>
      </c>
      <c r="H101" s="161">
        <f>CHOOSE(G100,H102,H103,H104,H105)</f>
        <v>610.6700000000001</v>
      </c>
      <c r="K101" s="41" t="s">
        <v>101</v>
      </c>
      <c r="L101" s="40">
        <v>16</v>
      </c>
      <c r="M101" s="40">
        <f>VLOOKUP($L$101,$K$102:$Q$136,3,FALSE)</f>
        <v>32</v>
      </c>
      <c r="N101" s="40">
        <f>VLOOKUP($L$101,$K$102:$Q$136,4,FALSE)</f>
        <v>0.0831</v>
      </c>
      <c r="O101" s="40">
        <f>VLOOKUP($L$101,$K$102:$Q$136,5,FALSE)</f>
        <v>1.305</v>
      </c>
      <c r="P101" s="40">
        <f>VLOOKUP($L$101,$K$102:$Q$136,6,FALSE)</f>
        <v>48.3</v>
      </c>
      <c r="Q101" s="40">
        <f>VLOOKUP($L$101,$K$102:$Q$136,7,FALSE)</f>
        <v>1.4</v>
      </c>
    </row>
    <row r="102" spans="1:17" ht="14.25">
      <c r="A102" s="5" t="s">
        <v>39</v>
      </c>
      <c r="B102" s="62">
        <f>'Gas Sizing'!B12</f>
        <v>1.3</v>
      </c>
      <c r="C102" s="47" t="s">
        <v>169</v>
      </c>
      <c r="D102" s="150">
        <f>($B$101*273.15*D111)/($H$101*14.5)</f>
        <v>31.048483773898987</v>
      </c>
      <c r="E102" s="51" t="s">
        <v>169</v>
      </c>
      <c r="F102" s="150">
        <f>($B$101*273.15*F111)/($H$101*14.5)</f>
        <v>31.048483773898987</v>
      </c>
      <c r="G102" s="127" t="s">
        <v>102</v>
      </c>
      <c r="H102" s="62">
        <f>H104+460.67</f>
        <v>610.6700000000001</v>
      </c>
      <c r="K102" s="1">
        <v>1</v>
      </c>
      <c r="L102" s="1" t="s">
        <v>74</v>
      </c>
      <c r="M102" s="1">
        <f>'Gas Sizing'!B17</f>
        <v>1.305</v>
      </c>
      <c r="N102" s="1">
        <f>O102/O104*N104</f>
        <v>0.1504</v>
      </c>
      <c r="O102" s="1">
        <f>'Gas Sizing'!C17</f>
        <v>2</v>
      </c>
      <c r="P102" s="1"/>
      <c r="Q102" s="1">
        <f>'Gas Sizing'!C19</f>
        <v>1.4</v>
      </c>
    </row>
    <row r="103" spans="1:17" ht="14.25">
      <c r="A103" s="5" t="s">
        <v>63</v>
      </c>
      <c r="B103" s="62">
        <f>'Gas Sizing'!B12/6.894757</f>
        <v>0.18854906706646804</v>
      </c>
      <c r="C103" s="47" t="s">
        <v>170</v>
      </c>
      <c r="D103" s="62">
        <f>D102*60</f>
        <v>1862.9090264339393</v>
      </c>
      <c r="E103" s="51" t="s">
        <v>170</v>
      </c>
      <c r="F103" s="62">
        <f>F102*60</f>
        <v>1862.9090264339393</v>
      </c>
      <c r="G103" s="127" t="s">
        <v>72</v>
      </c>
      <c r="H103" s="62">
        <f>(1.8*H104)+32+459.67</f>
        <v>761.6700000000001</v>
      </c>
      <c r="K103" s="1">
        <v>2</v>
      </c>
      <c r="L103" s="1" t="s">
        <v>75</v>
      </c>
      <c r="M103" s="1">
        <v>26</v>
      </c>
      <c r="N103" s="42">
        <v>0.0682</v>
      </c>
      <c r="O103" s="42">
        <v>0.907</v>
      </c>
      <c r="P103" s="1">
        <v>59.4</v>
      </c>
      <c r="Q103" s="1">
        <v>1.3</v>
      </c>
    </row>
    <row r="104" spans="1:17" ht="14.25">
      <c r="A104" s="5" t="s">
        <v>64</v>
      </c>
      <c r="B104" s="62">
        <f>'Gas Sizing'!B12/0.070307</f>
        <v>18.49033524400131</v>
      </c>
      <c r="C104" s="48" t="s">
        <v>66</v>
      </c>
      <c r="D104" s="62">
        <f>D105/0.454</f>
        <v>795.1780403632373</v>
      </c>
      <c r="E104" s="51" t="s">
        <v>66</v>
      </c>
      <c r="F104" s="62">
        <f>F105/0.454</f>
        <v>795.1780403632373</v>
      </c>
      <c r="G104" s="127" t="s">
        <v>112</v>
      </c>
      <c r="H104" s="62">
        <f>'Gas Sizing'!B15</f>
        <v>150</v>
      </c>
      <c r="K104" s="1">
        <v>3</v>
      </c>
      <c r="L104" s="1" t="s">
        <v>36</v>
      </c>
      <c r="M104" s="1">
        <v>29</v>
      </c>
      <c r="N104" s="92">
        <v>0.0752</v>
      </c>
      <c r="O104" s="92">
        <v>1</v>
      </c>
      <c r="P104" s="1">
        <v>53.3</v>
      </c>
      <c r="Q104" s="1">
        <v>1.4</v>
      </c>
    </row>
    <row r="105" spans="1:17" ht="14.25">
      <c r="A105" s="5" t="s">
        <v>97</v>
      </c>
      <c r="B105" s="62">
        <f>'Gas Sizing'!B12/0.068948</f>
        <v>18.854789116435576</v>
      </c>
      <c r="C105" s="48" t="s">
        <v>65</v>
      </c>
      <c r="D105" s="62">
        <f>D111/$N$101</f>
        <v>361.01083032490976</v>
      </c>
      <c r="E105" s="51" t="s">
        <v>65</v>
      </c>
      <c r="F105" s="62">
        <f>F111/$N$101</f>
        <v>361.01083032490976</v>
      </c>
      <c r="G105" s="162"/>
      <c r="H105" s="163"/>
      <c r="K105" s="1">
        <v>4</v>
      </c>
      <c r="L105" s="1" t="s">
        <v>76</v>
      </c>
      <c r="M105" s="1">
        <v>17</v>
      </c>
      <c r="N105" s="42">
        <v>0.0448</v>
      </c>
      <c r="O105" s="42">
        <v>0.596</v>
      </c>
      <c r="P105" s="1">
        <v>91</v>
      </c>
      <c r="Q105" s="1">
        <v>1.32</v>
      </c>
    </row>
    <row r="106" spans="1:17" ht="12.75">
      <c r="A106" s="5" t="s">
        <v>95</v>
      </c>
      <c r="B106" s="62">
        <f>'Gas Sizing'!B12+14.7</f>
        <v>16</v>
      </c>
      <c r="C106" s="48" t="s">
        <v>67</v>
      </c>
      <c r="D106" s="62">
        <f>D105*3600</f>
        <v>1299638.9891696752</v>
      </c>
      <c r="E106" s="51" t="s">
        <v>67</v>
      </c>
      <c r="F106" s="62">
        <f>F105*3600</f>
        <v>1299638.9891696752</v>
      </c>
      <c r="G106" s="8"/>
      <c r="H106" s="8"/>
      <c r="K106" s="1">
        <v>5</v>
      </c>
      <c r="L106" s="1" t="s">
        <v>77</v>
      </c>
      <c r="M106" s="1">
        <v>39.9</v>
      </c>
      <c r="N106" s="42">
        <v>0.1037</v>
      </c>
      <c r="O106" s="42">
        <v>1.379</v>
      </c>
      <c r="P106" s="1">
        <v>38.7</v>
      </c>
      <c r="Q106" s="1">
        <v>1.67</v>
      </c>
    </row>
    <row r="107" spans="1:17" ht="14.25">
      <c r="A107" s="5" t="s">
        <v>96</v>
      </c>
      <c r="B107" s="62">
        <f>('Gas Sizing'!B12*14.5)+14.7</f>
        <v>33.55</v>
      </c>
      <c r="C107" s="47" t="s">
        <v>69</v>
      </c>
      <c r="D107" s="62">
        <f>35.315*D111*519.67/492</f>
        <v>1119.033295731707</v>
      </c>
      <c r="E107" s="51" t="s">
        <v>69</v>
      </c>
      <c r="F107" s="62">
        <f>35.315*F111*519.67/492</f>
        <v>1119.033295731707</v>
      </c>
      <c r="G107" s="8"/>
      <c r="H107" s="8"/>
      <c r="K107" s="1">
        <v>6</v>
      </c>
      <c r="L107" s="1" t="s">
        <v>78</v>
      </c>
      <c r="M107" s="1">
        <v>58.1</v>
      </c>
      <c r="N107" s="42">
        <v>0.1554</v>
      </c>
      <c r="O107" s="42">
        <v>2.067</v>
      </c>
      <c r="P107" s="1">
        <v>26.5</v>
      </c>
      <c r="Q107" s="1">
        <v>1.11</v>
      </c>
    </row>
    <row r="108" spans="1:17" ht="14.25">
      <c r="A108" s="5"/>
      <c r="B108" s="8"/>
      <c r="C108" s="47" t="s">
        <v>70</v>
      </c>
      <c r="D108" s="62">
        <f>D107/3600</f>
        <v>0.3108425821476964</v>
      </c>
      <c r="E108" s="51" t="s">
        <v>70</v>
      </c>
      <c r="F108" s="62">
        <f>F107/3600</f>
        <v>0.3108425821476964</v>
      </c>
      <c r="G108" s="8"/>
      <c r="H108" s="8"/>
      <c r="K108" s="1">
        <v>7</v>
      </c>
      <c r="L108" s="1" t="s">
        <v>79</v>
      </c>
      <c r="M108" s="1">
        <v>44</v>
      </c>
      <c r="N108" s="42">
        <v>0.115</v>
      </c>
      <c r="O108" s="42">
        <v>1.529</v>
      </c>
      <c r="P108" s="1">
        <v>35.1</v>
      </c>
      <c r="Q108" s="1">
        <v>1.3</v>
      </c>
    </row>
    <row r="109" spans="1:17" ht="14.25">
      <c r="A109" s="5"/>
      <c r="B109" s="8"/>
      <c r="C109" s="47" t="s">
        <v>123</v>
      </c>
      <c r="D109" s="62">
        <f>D102/0.028</f>
        <v>1108.8744204963923</v>
      </c>
      <c r="E109" s="51" t="s">
        <v>123</v>
      </c>
      <c r="F109" s="62">
        <f>F102/0.028</f>
        <v>1108.8744204963923</v>
      </c>
      <c r="G109" s="8"/>
      <c r="H109" s="8"/>
      <c r="K109" s="1">
        <v>8</v>
      </c>
      <c r="L109" s="1" t="s">
        <v>80</v>
      </c>
      <c r="M109" s="1">
        <v>70.9</v>
      </c>
      <c r="N109" s="42">
        <v>0.1869</v>
      </c>
      <c r="O109" s="42">
        <v>2.486</v>
      </c>
      <c r="P109" s="1">
        <v>21.8</v>
      </c>
      <c r="Q109" s="1">
        <v>1.33</v>
      </c>
    </row>
    <row r="110" spans="1:17" ht="14.25">
      <c r="A110" s="5"/>
      <c r="B110" s="8"/>
      <c r="C110" s="47" t="s">
        <v>124</v>
      </c>
      <c r="D110" s="62">
        <f>D109*3600</f>
        <v>3991947.9137870125</v>
      </c>
      <c r="E110" s="48" t="s">
        <v>124</v>
      </c>
      <c r="F110" s="62">
        <f>F109*3600</f>
        <v>3991947.9137870125</v>
      </c>
      <c r="G110" s="8"/>
      <c r="H110" s="8"/>
      <c r="K110" s="1">
        <v>9</v>
      </c>
      <c r="L110" s="1" t="s">
        <v>81</v>
      </c>
      <c r="M110" s="1">
        <v>30</v>
      </c>
      <c r="N110" s="42">
        <v>0.0789</v>
      </c>
      <c r="O110" s="42">
        <v>1.049</v>
      </c>
      <c r="P110" s="1">
        <v>51.5</v>
      </c>
      <c r="Q110" s="1">
        <v>1.22</v>
      </c>
    </row>
    <row r="111" spans="1:17" ht="12.75">
      <c r="A111" s="5"/>
      <c r="B111" s="8"/>
      <c r="C111" s="47" t="s">
        <v>51</v>
      </c>
      <c r="D111" s="62">
        <f>'Gas Sizing'!B13</f>
        <v>30</v>
      </c>
      <c r="E111" s="51" t="s">
        <v>51</v>
      </c>
      <c r="F111" s="62">
        <f>'Gas Sizing'!B14</f>
        <v>30</v>
      </c>
      <c r="G111" s="8"/>
      <c r="H111" s="8"/>
      <c r="K111" s="1">
        <v>10</v>
      </c>
      <c r="L111" s="1" t="s">
        <v>82</v>
      </c>
      <c r="M111" s="1">
        <v>28</v>
      </c>
      <c r="N111" s="42">
        <v>0.0733</v>
      </c>
      <c r="O111" s="42">
        <v>0.975</v>
      </c>
      <c r="P111" s="1">
        <v>55.1</v>
      </c>
      <c r="Q111" s="1">
        <v>1.22</v>
      </c>
    </row>
    <row r="112" spans="1:17" ht="12.75">
      <c r="A112" s="5"/>
      <c r="B112" s="8"/>
      <c r="C112" s="47" t="s">
        <v>68</v>
      </c>
      <c r="D112" s="62">
        <f>'Gas Sizing'!B13*60</f>
        <v>1800</v>
      </c>
      <c r="E112" s="51" t="s">
        <v>68</v>
      </c>
      <c r="F112" s="62">
        <f>'Gas Sizing'!B14*60</f>
        <v>1800</v>
      </c>
      <c r="G112" s="8"/>
      <c r="H112" s="8"/>
      <c r="K112" s="1">
        <v>11</v>
      </c>
      <c r="L112" s="1" t="s">
        <v>83</v>
      </c>
      <c r="M112" s="1">
        <v>36.5</v>
      </c>
      <c r="N112" s="42">
        <v>0.0954</v>
      </c>
      <c r="O112" s="42">
        <v>1.268</v>
      </c>
      <c r="P112" s="1">
        <v>42.4</v>
      </c>
      <c r="Q112" s="1">
        <v>1.41</v>
      </c>
    </row>
    <row r="113" spans="1:17" ht="12.75">
      <c r="A113" s="5"/>
      <c r="B113" s="8"/>
      <c r="C113" s="47"/>
      <c r="D113" s="8"/>
      <c r="E113" s="47"/>
      <c r="F113" s="8"/>
      <c r="G113" s="8"/>
      <c r="H113" s="8"/>
      <c r="K113" s="1">
        <v>12</v>
      </c>
      <c r="L113" s="1" t="s">
        <v>84</v>
      </c>
      <c r="M113" s="1">
        <v>2</v>
      </c>
      <c r="N113" s="42">
        <v>0.00523</v>
      </c>
      <c r="O113" s="42">
        <v>0.0695</v>
      </c>
      <c r="P113" s="1">
        <v>766.8</v>
      </c>
      <c r="Q113" s="1">
        <v>1.41</v>
      </c>
    </row>
    <row r="114" spans="1:17" ht="13.5" thickBot="1">
      <c r="A114" s="5"/>
      <c r="B114" s="8"/>
      <c r="C114" s="143"/>
      <c r="D114" s="144"/>
      <c r="E114" s="143"/>
      <c r="F114" s="144"/>
      <c r="G114" s="8"/>
      <c r="H114" s="8"/>
      <c r="K114" s="1">
        <v>13</v>
      </c>
      <c r="L114" s="1" t="s">
        <v>85</v>
      </c>
      <c r="M114" s="1">
        <v>16</v>
      </c>
      <c r="N114" s="42">
        <v>0.0417</v>
      </c>
      <c r="O114" s="42">
        <v>0.554</v>
      </c>
      <c r="P114" s="1">
        <v>96.4</v>
      </c>
      <c r="Q114" s="1">
        <v>1.32</v>
      </c>
    </row>
    <row r="115" spans="1:17" ht="13.5" thickBot="1">
      <c r="A115" s="5"/>
      <c r="B115" s="141"/>
      <c r="C115" s="147" t="s">
        <v>177</v>
      </c>
      <c r="D115" s="148">
        <f>SUM(D101:D114)</f>
        <v>5299490.445936757</v>
      </c>
      <c r="E115" s="148"/>
      <c r="F115" s="149">
        <f>SUM(F101:F114)</f>
        <v>5299490.445936757</v>
      </c>
      <c r="G115" s="142"/>
      <c r="H115" s="8"/>
      <c r="K115" s="1">
        <v>14</v>
      </c>
      <c r="L115" s="1" t="s">
        <v>86</v>
      </c>
      <c r="M115" s="1">
        <v>19.5</v>
      </c>
      <c r="N115" s="42">
        <v>0.0502</v>
      </c>
      <c r="O115" s="42">
        <v>0.667</v>
      </c>
      <c r="P115" s="1">
        <v>79.1</v>
      </c>
      <c r="Q115" s="1">
        <v>1.27</v>
      </c>
    </row>
    <row r="116" spans="1:17" ht="12.75">
      <c r="A116" s="5"/>
      <c r="B116" s="8"/>
      <c r="C116" s="145"/>
      <c r="D116" s="146"/>
      <c r="E116" s="145"/>
      <c r="F116" s="146"/>
      <c r="G116" s="8"/>
      <c r="H116" s="8"/>
      <c r="K116" s="1">
        <v>15</v>
      </c>
      <c r="L116" s="1" t="s">
        <v>87</v>
      </c>
      <c r="M116" s="1">
        <v>28</v>
      </c>
      <c r="N116" s="42">
        <v>0.0727</v>
      </c>
      <c r="O116" s="42">
        <v>0.967</v>
      </c>
      <c r="P116" s="1">
        <v>55.2</v>
      </c>
      <c r="Q116" s="1">
        <v>1.41</v>
      </c>
    </row>
    <row r="117" spans="1:17" ht="12.75">
      <c r="A117" s="5"/>
      <c r="B117" s="8"/>
      <c r="C117" s="47"/>
      <c r="D117" s="8"/>
      <c r="E117" s="47"/>
      <c r="F117" s="8"/>
      <c r="G117" s="8"/>
      <c r="H117" s="8"/>
      <c r="K117" s="1">
        <v>16</v>
      </c>
      <c r="L117" s="1" t="s">
        <v>88</v>
      </c>
      <c r="M117" s="1">
        <v>32</v>
      </c>
      <c r="N117" s="42">
        <v>0.0831</v>
      </c>
      <c r="O117" s="42">
        <v>1.305</v>
      </c>
      <c r="P117" s="1">
        <v>48.3</v>
      </c>
      <c r="Q117" s="1">
        <v>1.4</v>
      </c>
    </row>
    <row r="118" spans="1:17" ht="12.75">
      <c r="A118" s="5"/>
      <c r="B118" s="8"/>
      <c r="C118" s="47"/>
      <c r="D118" s="8"/>
      <c r="E118" s="47"/>
      <c r="F118" s="8"/>
      <c r="G118" s="8"/>
      <c r="H118" s="8"/>
      <c r="K118" s="1">
        <v>17</v>
      </c>
      <c r="L118" s="1" t="s">
        <v>89</v>
      </c>
      <c r="M118" s="1">
        <v>44.1</v>
      </c>
      <c r="N118" s="42">
        <v>0.1175</v>
      </c>
      <c r="O118" s="42">
        <v>1.562</v>
      </c>
      <c r="P118" s="1">
        <v>35</v>
      </c>
      <c r="Q118" s="1">
        <v>1.15</v>
      </c>
    </row>
    <row r="119" spans="1:17" ht="12.75">
      <c r="A119" s="5"/>
      <c r="B119" s="8"/>
      <c r="C119" s="47"/>
      <c r="D119" s="8"/>
      <c r="E119" s="47"/>
      <c r="F119" s="8"/>
      <c r="G119" s="8"/>
      <c r="H119" s="8"/>
      <c r="K119" s="1">
        <v>18</v>
      </c>
      <c r="L119" s="1" t="s">
        <v>90</v>
      </c>
      <c r="M119" s="1">
        <v>42.1</v>
      </c>
      <c r="N119" s="42">
        <v>0.1091</v>
      </c>
      <c r="O119" s="42">
        <v>1.451</v>
      </c>
      <c r="P119" s="1">
        <v>36.8</v>
      </c>
      <c r="Q119" s="1">
        <v>1.14</v>
      </c>
    </row>
    <row r="120" spans="3:17" ht="12.75">
      <c r="C120" s="45" t="s">
        <v>119</v>
      </c>
      <c r="D120" s="150">
        <f>($H$101*14.5*D$101)/($B$101*273.15)</f>
        <v>768.3254803879084</v>
      </c>
      <c r="E120" s="151" t="s">
        <v>120</v>
      </c>
      <c r="F120" s="150">
        <f>($H$101*14.5*F$101)/($B$101*273.15)</f>
        <v>768.3254803879084</v>
      </c>
      <c r="K120" s="1">
        <v>19</v>
      </c>
      <c r="L120" s="1" t="s">
        <v>91</v>
      </c>
      <c r="M120" s="1">
        <v>64.1</v>
      </c>
      <c r="N120" s="42">
        <v>0.1703</v>
      </c>
      <c r="O120" s="42">
        <v>2.264</v>
      </c>
      <c r="P120" s="1">
        <v>24</v>
      </c>
      <c r="Q120" s="1">
        <v>1.26</v>
      </c>
    </row>
    <row r="121" spans="3:17" ht="12.75">
      <c r="C121" s="222" t="s">
        <v>121</v>
      </c>
      <c r="D121" s="223"/>
      <c r="E121" s="223"/>
      <c r="F121" s="224"/>
      <c r="K121" s="1">
        <v>20</v>
      </c>
      <c r="L121" s="1" t="s">
        <v>171</v>
      </c>
      <c r="M121" s="1" t="s">
        <v>99</v>
      </c>
      <c r="N121" s="1">
        <v>0.028</v>
      </c>
      <c r="O121" s="1">
        <f>N121/N104</f>
        <v>0.3723404255319149</v>
      </c>
      <c r="P121" s="1" t="s">
        <v>99</v>
      </c>
      <c r="Q121" s="1" t="s">
        <v>99</v>
      </c>
    </row>
    <row r="122" spans="3:17" ht="12.75">
      <c r="C122" t="s">
        <v>163</v>
      </c>
      <c r="D122" s="159">
        <f>6.1078*POWER(10,(7.5*D124)/(237.3+D124))*100</f>
        <v>15477406.00850846</v>
      </c>
      <c r="K122" s="1">
        <v>21</v>
      </c>
      <c r="L122" s="1" t="s">
        <v>172</v>
      </c>
      <c r="M122" s="1">
        <v>49.7856</v>
      </c>
      <c r="N122" s="1">
        <v>0.153</v>
      </c>
      <c r="O122" s="1">
        <f>N122/N104</f>
        <v>2.0345744680851063</v>
      </c>
      <c r="P122" s="1" t="s">
        <v>99</v>
      </c>
      <c r="Q122" s="1" t="s">
        <v>99</v>
      </c>
    </row>
    <row r="123" spans="3:17" ht="12.75">
      <c r="C123" t="s">
        <v>164</v>
      </c>
      <c r="D123" s="159">
        <f>(B101*6894.757)-D122</f>
        <v>-15246086.911158461</v>
      </c>
      <c r="K123" s="1">
        <v>22</v>
      </c>
      <c r="L123" s="1" t="s">
        <v>178</v>
      </c>
      <c r="M123" s="1" t="s">
        <v>99</v>
      </c>
      <c r="N123" s="1">
        <v>0.04969</v>
      </c>
      <c r="O123" s="1">
        <f>N123/N105</f>
        <v>1.1091517857142856</v>
      </c>
      <c r="P123" s="1" t="s">
        <v>99</v>
      </c>
      <c r="Q123" s="1" t="s">
        <v>99</v>
      </c>
    </row>
    <row r="124" spans="3:17" ht="12.75">
      <c r="C124" t="s">
        <v>162</v>
      </c>
      <c r="D124" s="159">
        <f>H101-273.15</f>
        <v>337.5200000000001</v>
      </c>
      <c r="K124" s="1">
        <v>23</v>
      </c>
      <c r="L124" s="1" t="s">
        <v>99</v>
      </c>
      <c r="M124" s="1" t="s">
        <v>99</v>
      </c>
      <c r="N124" s="1" t="s">
        <v>99</v>
      </c>
      <c r="O124" s="1" t="s">
        <v>99</v>
      </c>
      <c r="P124" s="1" t="s">
        <v>99</v>
      </c>
      <c r="Q124" s="1" t="s">
        <v>99</v>
      </c>
    </row>
    <row r="125" spans="3:17" ht="12.75">
      <c r="C125" t="s">
        <v>166</v>
      </c>
      <c r="D125" s="159">
        <f>(D123/(287.05*(D124+273.15)))+(D122/(461.495*(D124+273.15)))</f>
        <v>-32.05571439002487</v>
      </c>
      <c r="E125" t="s">
        <v>165</v>
      </c>
      <c r="K125" s="1">
        <v>24</v>
      </c>
      <c r="L125" s="1" t="s">
        <v>99</v>
      </c>
      <c r="M125" s="1" t="s">
        <v>99</v>
      </c>
      <c r="N125" s="1" t="s">
        <v>99</v>
      </c>
      <c r="O125" s="1" t="s">
        <v>99</v>
      </c>
      <c r="P125" s="1" t="s">
        <v>99</v>
      </c>
      <c r="Q125" s="1" t="s">
        <v>99</v>
      </c>
    </row>
    <row r="126" spans="3:17" ht="12.75">
      <c r="C126" t="s">
        <v>167</v>
      </c>
      <c r="D126" s="159">
        <f>(B101*6894.757)/(287.05*(D124+273.15))</f>
        <v>1.3196153312574141</v>
      </c>
      <c r="K126" s="1">
        <v>25</v>
      </c>
      <c r="L126" s="1" t="s">
        <v>99</v>
      </c>
      <c r="M126" s="1" t="s">
        <v>99</v>
      </c>
      <c r="N126" s="1" t="s">
        <v>99</v>
      </c>
      <c r="O126" s="1" t="s">
        <v>99</v>
      </c>
      <c r="P126" s="1" t="s">
        <v>99</v>
      </c>
      <c r="Q126" s="1" t="s">
        <v>99</v>
      </c>
    </row>
    <row r="127" spans="3:17" ht="12.75">
      <c r="C127" t="s">
        <v>168</v>
      </c>
      <c r="D127" s="159">
        <f>D125/D126</f>
        <v>-24.291711099991637</v>
      </c>
      <c r="K127" s="1">
        <v>26</v>
      </c>
      <c r="L127" s="1" t="s">
        <v>99</v>
      </c>
      <c r="M127" s="1" t="s">
        <v>99</v>
      </c>
      <c r="N127" s="1" t="s">
        <v>99</v>
      </c>
      <c r="O127" s="1" t="s">
        <v>99</v>
      </c>
      <c r="P127" s="1" t="s">
        <v>99</v>
      </c>
      <c r="Q127" s="1" t="s">
        <v>99</v>
      </c>
    </row>
    <row r="128" spans="4:17" ht="12.75">
      <c r="D128" s="159"/>
      <c r="K128" s="1">
        <v>27</v>
      </c>
      <c r="L128" s="1" t="s">
        <v>99</v>
      </c>
      <c r="M128" s="1" t="s">
        <v>99</v>
      </c>
      <c r="N128" s="1" t="s">
        <v>99</v>
      </c>
      <c r="O128" s="1" t="s">
        <v>99</v>
      </c>
      <c r="P128" s="1" t="s">
        <v>99</v>
      </c>
      <c r="Q128" s="1" t="s">
        <v>99</v>
      </c>
    </row>
    <row r="129" spans="4:17" ht="15.75" thickBot="1">
      <c r="D129" s="98">
        <f>$F$120/(5574*(PI()*POWER($B$78/2,2))*SQRT($Q$101*$H$101/$M$101))</f>
        <v>0.03436419831052877</v>
      </c>
      <c r="K129" s="1">
        <v>28</v>
      </c>
      <c r="L129" s="1" t="s">
        <v>99</v>
      </c>
      <c r="M129" s="1" t="s">
        <v>99</v>
      </c>
      <c r="N129" s="1" t="s">
        <v>99</v>
      </c>
      <c r="O129" s="1" t="s">
        <v>99</v>
      </c>
      <c r="P129" s="1" t="s">
        <v>99</v>
      </c>
      <c r="Q129" s="1" t="s">
        <v>99</v>
      </c>
    </row>
    <row r="130" spans="11:17" ht="12.75">
      <c r="K130" s="1">
        <v>29</v>
      </c>
      <c r="L130" s="1" t="s">
        <v>99</v>
      </c>
      <c r="M130" s="1" t="s">
        <v>99</v>
      </c>
      <c r="N130" s="1" t="s">
        <v>99</v>
      </c>
      <c r="O130" s="1" t="s">
        <v>99</v>
      </c>
      <c r="P130" s="1" t="s">
        <v>99</v>
      </c>
      <c r="Q130" s="1" t="s">
        <v>99</v>
      </c>
    </row>
    <row r="131" spans="11:17" ht="12.75">
      <c r="K131" s="1">
        <v>30</v>
      </c>
      <c r="L131" s="1" t="s">
        <v>99</v>
      </c>
      <c r="M131" s="1" t="s">
        <v>99</v>
      </c>
      <c r="N131" s="1" t="s">
        <v>99</v>
      </c>
      <c r="O131" s="1" t="s">
        <v>99</v>
      </c>
      <c r="P131" s="1" t="s">
        <v>99</v>
      </c>
      <c r="Q131" s="1" t="s">
        <v>99</v>
      </c>
    </row>
    <row r="132" spans="11:17" ht="12.75">
      <c r="K132" s="1">
        <v>31</v>
      </c>
      <c r="L132" s="1" t="s">
        <v>99</v>
      </c>
      <c r="M132" s="1" t="s">
        <v>99</v>
      </c>
      <c r="N132" s="1" t="s">
        <v>99</v>
      </c>
      <c r="O132" s="1" t="s">
        <v>99</v>
      </c>
      <c r="P132" s="1" t="s">
        <v>99</v>
      </c>
      <c r="Q132" s="1" t="s">
        <v>99</v>
      </c>
    </row>
    <row r="133" spans="11:17" ht="12.75">
      <c r="K133" s="1">
        <v>32</v>
      </c>
      <c r="L133" s="1" t="s">
        <v>99</v>
      </c>
      <c r="M133" s="1" t="s">
        <v>99</v>
      </c>
      <c r="N133" s="1" t="s">
        <v>99</v>
      </c>
      <c r="O133" s="1" t="s">
        <v>99</v>
      </c>
      <c r="P133" s="1" t="s">
        <v>99</v>
      </c>
      <c r="Q133" s="1" t="s">
        <v>99</v>
      </c>
    </row>
    <row r="134" spans="11:17" ht="12.75">
      <c r="K134" s="1">
        <v>33</v>
      </c>
      <c r="L134" s="1" t="s">
        <v>99</v>
      </c>
      <c r="M134" s="1" t="s">
        <v>99</v>
      </c>
      <c r="N134" s="1" t="s">
        <v>99</v>
      </c>
      <c r="O134" s="1" t="s">
        <v>99</v>
      </c>
      <c r="P134" s="1" t="s">
        <v>99</v>
      </c>
      <c r="Q134" s="1" t="s">
        <v>99</v>
      </c>
    </row>
    <row r="135" spans="11:17" ht="12.75">
      <c r="K135" s="1">
        <v>34</v>
      </c>
      <c r="L135" s="1" t="s">
        <v>99</v>
      </c>
      <c r="M135" s="1" t="s">
        <v>99</v>
      </c>
      <c r="N135" s="1" t="s">
        <v>99</v>
      </c>
      <c r="O135" s="1" t="s">
        <v>99</v>
      </c>
      <c r="P135" s="1" t="s">
        <v>99</v>
      </c>
      <c r="Q135" s="1" t="s">
        <v>99</v>
      </c>
    </row>
    <row r="136" spans="11:17" ht="12.75">
      <c r="K136" s="1">
        <v>35</v>
      </c>
      <c r="L136" s="1" t="s">
        <v>99</v>
      </c>
      <c r="M136" s="1" t="s">
        <v>99</v>
      </c>
      <c r="N136" s="1" t="s">
        <v>99</v>
      </c>
      <c r="O136" s="1" t="s">
        <v>99</v>
      </c>
      <c r="P136" s="1" t="s">
        <v>99</v>
      </c>
      <c r="Q136" s="1" t="s">
        <v>99</v>
      </c>
    </row>
    <row r="140" spans="1:22" ht="12.75">
      <c r="A140" s="218" t="s">
        <v>126</v>
      </c>
      <c r="B140" s="219"/>
      <c r="C140" s="219"/>
      <c r="D140" s="219"/>
      <c r="E140" s="219"/>
      <c r="F140" s="219"/>
      <c r="G140" s="219"/>
      <c r="H140" s="219"/>
      <c r="I140" s="219"/>
      <c r="J140" s="219"/>
      <c r="K140" s="220"/>
      <c r="L140" s="52"/>
      <c r="M140" s="52"/>
      <c r="P140" s="53" t="s">
        <v>135</v>
      </c>
      <c r="Q140" s="54"/>
      <c r="R140" s="54"/>
      <c r="S140" s="54"/>
      <c r="T140" s="54"/>
      <c r="U140" s="54"/>
      <c r="V140" s="44"/>
    </row>
    <row r="141" spans="1:22" ht="14.25">
      <c r="A141" s="1">
        <v>3</v>
      </c>
      <c r="B141" s="41" t="s">
        <v>105</v>
      </c>
      <c r="C141" s="1">
        <v>8</v>
      </c>
      <c r="D141" s="41" t="s">
        <v>133</v>
      </c>
      <c r="E141" s="1">
        <v>8</v>
      </c>
      <c r="F141" s="41" t="s">
        <v>134</v>
      </c>
      <c r="G141" s="1">
        <v>1</v>
      </c>
      <c r="H141" s="41" t="s">
        <v>106</v>
      </c>
      <c r="I141" s="1">
        <v>1</v>
      </c>
      <c r="J141" s="1"/>
      <c r="K141" s="41" t="s">
        <v>139</v>
      </c>
      <c r="P141" s="14"/>
      <c r="Q141" s="14" t="s">
        <v>45</v>
      </c>
      <c r="R141" s="14" t="s">
        <v>139</v>
      </c>
      <c r="S141" s="14" t="s">
        <v>93</v>
      </c>
      <c r="T141" s="14"/>
      <c r="U141" s="14"/>
      <c r="V141" s="14"/>
    </row>
    <row r="142" spans="1:22" ht="12.75">
      <c r="A142" s="57" t="s">
        <v>128</v>
      </c>
      <c r="B142" s="58">
        <f>CHOOSE(A141,B147,B145,B146,B143,B148,B144,B149,B150,B151,B152,B153,B154,B155,B156,B157,B158,B159,B160)</f>
        <v>1422.333480307793</v>
      </c>
      <c r="C142" s="41" t="s">
        <v>128</v>
      </c>
      <c r="D142" s="40">
        <f>CHOOSE(C141,D143,D144,D145,D146,D147,D148,D149,D150,D151,D152,D153)</f>
        <v>150</v>
      </c>
      <c r="E142" s="41" t="s">
        <v>128</v>
      </c>
      <c r="F142" s="40">
        <f>CHOOSE(E141,F143,F144,F145,F146,F147,F148,F149,F150,F151,F152,F153)</f>
        <v>150</v>
      </c>
      <c r="G142" s="41" t="s">
        <v>128</v>
      </c>
      <c r="H142" s="40">
        <f>CHOOSE(G141,H143+459.69,H144+459.69,H145)</f>
        <v>1019.3600000000001</v>
      </c>
      <c r="I142" s="57" t="s">
        <v>128</v>
      </c>
      <c r="J142" s="57"/>
      <c r="K142" s="58">
        <f>CHOOSE(I141,K143,K144,K145,K146,K147,K148,K149,K150,K151,K152,K153,K154,K155,K156,K157,K158,K159,K160)</f>
        <v>100</v>
      </c>
      <c r="P142" s="41" t="s">
        <v>136</v>
      </c>
      <c r="Q142" s="40">
        <v>2</v>
      </c>
      <c r="R142" s="40">
        <f>VLOOKUP($Q$142,$P$143:$S$177,3,FALSE)</f>
        <v>14.7</v>
      </c>
      <c r="S142" s="40">
        <f>VLOOKUP($Q$142,$P$143:$S$177,4,FALSE)</f>
        <v>1</v>
      </c>
      <c r="T142" s="40"/>
      <c r="U142" s="40"/>
      <c r="V142" s="40"/>
    </row>
    <row r="143" spans="1:22" ht="14.25">
      <c r="A143" s="59" t="s">
        <v>129</v>
      </c>
      <c r="B143" s="62">
        <f>B147/0.068948</f>
        <v>1450.3683935719673</v>
      </c>
      <c r="C143" s="51" t="s">
        <v>66</v>
      </c>
      <c r="D143" s="1">
        <f>D148/1000</f>
        <v>0.66045</v>
      </c>
      <c r="E143" s="51" t="s">
        <v>66</v>
      </c>
      <c r="F143" s="1">
        <f>F148/1000</f>
        <v>0.66045</v>
      </c>
      <c r="G143" s="46" t="s">
        <v>102</v>
      </c>
      <c r="H143" s="8">
        <f>H145+459.67</f>
        <v>559.6700000000001</v>
      </c>
      <c r="I143" s="59" t="s">
        <v>39</v>
      </c>
      <c r="J143" s="59"/>
      <c r="K143" s="62">
        <f>'Liquid Sizing'!B12</f>
        <v>100</v>
      </c>
      <c r="P143" s="1">
        <v>1</v>
      </c>
      <c r="Q143" s="1" t="s">
        <v>74</v>
      </c>
      <c r="R143" s="1"/>
      <c r="S143" s="1"/>
      <c r="T143" s="1"/>
      <c r="U143" s="1"/>
      <c r="V143" s="1"/>
    </row>
    <row r="144" spans="1:22" ht="14.25">
      <c r="A144" s="59" t="s">
        <v>96</v>
      </c>
      <c r="B144" s="62">
        <f>(B147/0.068948)+14.5</f>
        <v>1464.8683935719673</v>
      </c>
      <c r="C144" s="51" t="s">
        <v>65</v>
      </c>
      <c r="D144" s="1">
        <f>D143/2.205</f>
        <v>0.2995238095238095</v>
      </c>
      <c r="E144" s="51" t="s">
        <v>65</v>
      </c>
      <c r="F144" s="1">
        <f>F143/2.205</f>
        <v>0.2995238095238095</v>
      </c>
      <c r="G144" s="46" t="s">
        <v>72</v>
      </c>
      <c r="H144" s="8">
        <f>(H145*9/5)+32+459.67</f>
        <v>671.6700000000001</v>
      </c>
      <c r="I144" s="59" t="s">
        <v>63</v>
      </c>
      <c r="J144" s="59"/>
      <c r="K144" s="62">
        <f>K143/6.894757</f>
        <v>14.50377438972831</v>
      </c>
      <c r="P144" s="1">
        <v>2</v>
      </c>
      <c r="Q144" s="1" t="s">
        <v>137</v>
      </c>
      <c r="R144" s="1">
        <v>14.7</v>
      </c>
      <c r="S144" s="1">
        <v>1</v>
      </c>
      <c r="T144" s="1"/>
      <c r="U144" s="1"/>
      <c r="V144" s="1"/>
    </row>
    <row r="145" spans="1:22" ht="14.25">
      <c r="A145" s="59" t="s">
        <v>63</v>
      </c>
      <c r="B145" s="62">
        <f>B147/6.894757</f>
        <v>14.50377438972831</v>
      </c>
      <c r="C145" s="48" t="s">
        <v>130</v>
      </c>
      <c r="D145" s="63">
        <f>D150*0.264</f>
        <v>39.6</v>
      </c>
      <c r="E145" s="48" t="s">
        <v>130</v>
      </c>
      <c r="F145" s="63">
        <f>F150*0.264</f>
        <v>39.6</v>
      </c>
      <c r="G145" s="46" t="s">
        <v>112</v>
      </c>
      <c r="H145" s="8">
        <f>'Liquid Sizing'!B15</f>
        <v>100</v>
      </c>
      <c r="I145" s="59" t="s">
        <v>64</v>
      </c>
      <c r="J145" s="59"/>
      <c r="K145" s="62">
        <f>K143/0.070307</f>
        <v>1422.333480307793</v>
      </c>
      <c r="P145" s="1">
        <v>3</v>
      </c>
      <c r="Q145" s="1" t="s">
        <v>146</v>
      </c>
      <c r="R145" s="1" t="s">
        <v>99</v>
      </c>
      <c r="S145" s="1">
        <v>0.796</v>
      </c>
      <c r="T145" s="42"/>
      <c r="U145" s="1"/>
      <c r="V145" s="1"/>
    </row>
    <row r="146" spans="1:22" ht="14.25">
      <c r="A146" s="59" t="s">
        <v>64</v>
      </c>
      <c r="B146" s="62">
        <f>B147/0.070307</f>
        <v>1422.333480307793</v>
      </c>
      <c r="C146" s="48" t="s">
        <v>131</v>
      </c>
      <c r="D146" s="63">
        <f>D150*15.85</f>
        <v>2377.5</v>
      </c>
      <c r="E146" s="48" t="s">
        <v>131</v>
      </c>
      <c r="F146" s="63">
        <f>F150*15.85</f>
        <v>2377.5</v>
      </c>
      <c r="G146" s="1" t="s">
        <v>99</v>
      </c>
      <c r="H146" s="1" t="s">
        <v>99</v>
      </c>
      <c r="I146" s="59" t="s">
        <v>129</v>
      </c>
      <c r="J146" s="59"/>
      <c r="K146" s="62">
        <f>K143/0.068948</f>
        <v>1450.3683935719673</v>
      </c>
      <c r="P146" s="1">
        <v>4</v>
      </c>
      <c r="Q146" s="1" t="s">
        <v>80</v>
      </c>
      <c r="R146" s="1" t="s">
        <v>99</v>
      </c>
      <c r="S146" s="1">
        <v>1.42</v>
      </c>
      <c r="T146" s="42"/>
      <c r="U146" s="1"/>
      <c r="V146" s="1"/>
    </row>
    <row r="147" spans="1:22" ht="14.25">
      <c r="A147" s="59" t="s">
        <v>39</v>
      </c>
      <c r="B147" s="62">
        <f>'Liquid Sizing'!B12</f>
        <v>100</v>
      </c>
      <c r="C147" s="50" t="s">
        <v>132</v>
      </c>
      <c r="D147" s="63">
        <f>D150*105.672</f>
        <v>15850.8</v>
      </c>
      <c r="E147" s="50" t="s">
        <v>132</v>
      </c>
      <c r="F147" s="63">
        <f>F150*105.672</f>
        <v>15850.8</v>
      </c>
      <c r="G147" s="1" t="s">
        <v>99</v>
      </c>
      <c r="H147" s="1" t="s">
        <v>99</v>
      </c>
      <c r="I147" s="59" t="s">
        <v>95</v>
      </c>
      <c r="J147" s="59"/>
      <c r="K147" s="62">
        <f>K143+14.5</f>
        <v>114.5</v>
      </c>
      <c r="P147" s="1">
        <v>5</v>
      </c>
      <c r="Q147" s="1" t="s">
        <v>147</v>
      </c>
      <c r="R147" s="1" t="s">
        <v>99</v>
      </c>
      <c r="S147" s="1">
        <v>1.54</v>
      </c>
      <c r="T147" s="42"/>
      <c r="U147" s="1"/>
      <c r="V147" s="1"/>
    </row>
    <row r="148" spans="1:22" ht="14.25">
      <c r="A148" s="59" t="s">
        <v>95</v>
      </c>
      <c r="B148" s="62">
        <f>B147+14.7</f>
        <v>114.7</v>
      </c>
      <c r="C148" s="50" t="s">
        <v>123</v>
      </c>
      <c r="D148" s="63">
        <f>D150*4.403</f>
        <v>660.4499999999999</v>
      </c>
      <c r="E148" s="50" t="s">
        <v>123</v>
      </c>
      <c r="F148" s="63">
        <f>F150*4.403</f>
        <v>660.4499999999999</v>
      </c>
      <c r="G148" s="1" t="s">
        <v>99</v>
      </c>
      <c r="H148" s="1" t="s">
        <v>99</v>
      </c>
      <c r="I148" s="59" t="s">
        <v>96</v>
      </c>
      <c r="J148" s="59"/>
      <c r="K148" s="62">
        <f>(K143/0.068948)+14.5</f>
        <v>1464.8683935719673</v>
      </c>
      <c r="P148" s="1">
        <v>6</v>
      </c>
      <c r="Q148" s="1" t="s">
        <v>149</v>
      </c>
      <c r="R148" s="1" t="s">
        <v>99</v>
      </c>
      <c r="S148" s="1">
        <v>1.23</v>
      </c>
      <c r="T148" s="42"/>
      <c r="U148" s="1"/>
      <c r="V148" s="1"/>
    </row>
    <row r="149" spans="1:22" ht="14.25">
      <c r="A149" s="1" t="s">
        <v>99</v>
      </c>
      <c r="B149" s="1" t="s">
        <v>99</v>
      </c>
      <c r="C149" s="47" t="s">
        <v>124</v>
      </c>
      <c r="D149" s="63">
        <f>D150*15850.323</f>
        <v>2377548.45</v>
      </c>
      <c r="E149" s="47" t="s">
        <v>124</v>
      </c>
      <c r="F149" s="63">
        <f>F150*15850.323</f>
        <v>2377548.45</v>
      </c>
      <c r="G149" s="1" t="s">
        <v>99</v>
      </c>
      <c r="H149" s="1" t="s">
        <v>99</v>
      </c>
      <c r="I149" s="1" t="s">
        <v>99</v>
      </c>
      <c r="J149" s="1"/>
      <c r="K149" s="1" t="s">
        <v>99</v>
      </c>
      <c r="P149" s="1">
        <v>7</v>
      </c>
      <c r="Q149" s="1" t="s">
        <v>158</v>
      </c>
      <c r="R149" s="1" t="s">
        <v>99</v>
      </c>
      <c r="S149" s="1">
        <v>0.862</v>
      </c>
      <c r="T149" s="42"/>
      <c r="U149" s="1"/>
      <c r="V149" s="1"/>
    </row>
    <row r="150" spans="1:22" ht="12.75">
      <c r="A150" s="1" t="s">
        <v>99</v>
      </c>
      <c r="B150" s="1" t="s">
        <v>99</v>
      </c>
      <c r="C150" s="47" t="s">
        <v>34</v>
      </c>
      <c r="D150" s="56">
        <f>'Liquid Sizing'!B13</f>
        <v>150</v>
      </c>
      <c r="E150" s="47" t="s">
        <v>34</v>
      </c>
      <c r="F150" s="56">
        <f>'Liquid Sizing'!B14</f>
        <v>150</v>
      </c>
      <c r="G150" s="1" t="s">
        <v>99</v>
      </c>
      <c r="H150" s="1" t="s">
        <v>99</v>
      </c>
      <c r="I150" s="1" t="s">
        <v>99</v>
      </c>
      <c r="J150" s="1"/>
      <c r="K150" s="1" t="s">
        <v>99</v>
      </c>
      <c r="P150" s="1">
        <v>8</v>
      </c>
      <c r="Q150" s="1" t="s">
        <v>148</v>
      </c>
      <c r="R150" s="1" t="s">
        <v>99</v>
      </c>
      <c r="S150" s="1">
        <v>1.11</v>
      </c>
      <c r="T150" s="42"/>
      <c r="U150" s="1"/>
      <c r="V150" s="1"/>
    </row>
    <row r="151" spans="1:22" ht="12.75">
      <c r="A151" s="1" t="s">
        <v>99</v>
      </c>
      <c r="B151" s="1" t="s">
        <v>99</v>
      </c>
      <c r="C151" s="1" t="s">
        <v>99</v>
      </c>
      <c r="D151" s="1" t="s">
        <v>99</v>
      </c>
      <c r="E151" s="1" t="s">
        <v>99</v>
      </c>
      <c r="F151" s="1" t="s">
        <v>99</v>
      </c>
      <c r="G151" s="1" t="s">
        <v>99</v>
      </c>
      <c r="H151" s="1" t="s">
        <v>99</v>
      </c>
      <c r="I151" s="1" t="s">
        <v>99</v>
      </c>
      <c r="J151" s="1"/>
      <c r="K151" s="1" t="s">
        <v>99</v>
      </c>
      <c r="P151" s="1">
        <v>9</v>
      </c>
      <c r="Q151" s="1" t="s">
        <v>159</v>
      </c>
      <c r="R151" s="1" t="s">
        <v>99</v>
      </c>
      <c r="S151" s="1">
        <v>0.825</v>
      </c>
      <c r="T151" s="42"/>
      <c r="U151" s="1"/>
      <c r="V151" s="1"/>
    </row>
    <row r="152" spans="1:22" ht="12.75">
      <c r="A152" s="1" t="s">
        <v>99</v>
      </c>
      <c r="B152" s="1" t="s">
        <v>99</v>
      </c>
      <c r="C152" s="1" t="s">
        <v>99</v>
      </c>
      <c r="D152" s="1" t="s">
        <v>99</v>
      </c>
      <c r="E152" s="1" t="s">
        <v>99</v>
      </c>
      <c r="F152" s="1" t="s">
        <v>99</v>
      </c>
      <c r="G152" s="1" t="s">
        <v>99</v>
      </c>
      <c r="H152" s="1" t="s">
        <v>99</v>
      </c>
      <c r="I152" s="1" t="s">
        <v>99</v>
      </c>
      <c r="J152" s="1"/>
      <c r="K152" s="1" t="s">
        <v>99</v>
      </c>
      <c r="P152" s="1">
        <v>10</v>
      </c>
      <c r="Q152" s="1" t="s">
        <v>150</v>
      </c>
      <c r="R152" s="1" t="s">
        <v>99</v>
      </c>
      <c r="S152" s="1">
        <v>1.5</v>
      </c>
      <c r="T152" s="42"/>
      <c r="U152" s="1"/>
      <c r="V152" s="1"/>
    </row>
    <row r="153" spans="1:22" ht="12.75">
      <c r="A153" s="1" t="s">
        <v>99</v>
      </c>
      <c r="B153" s="1" t="s">
        <v>99</v>
      </c>
      <c r="C153" s="1" t="s">
        <v>99</v>
      </c>
      <c r="D153" s="1" t="s">
        <v>99</v>
      </c>
      <c r="E153" s="1" t="s">
        <v>99</v>
      </c>
      <c r="F153" s="1" t="s">
        <v>99</v>
      </c>
      <c r="G153" s="1" t="s">
        <v>99</v>
      </c>
      <c r="H153" s="1" t="s">
        <v>99</v>
      </c>
      <c r="I153" s="1" t="s">
        <v>99</v>
      </c>
      <c r="J153" s="1"/>
      <c r="K153" s="1" t="s">
        <v>99</v>
      </c>
      <c r="P153" s="1">
        <v>11</v>
      </c>
      <c r="Q153" s="1" t="s">
        <v>151</v>
      </c>
      <c r="R153" s="1" t="s">
        <v>99</v>
      </c>
      <c r="S153" s="1">
        <v>0.92</v>
      </c>
      <c r="T153" s="42"/>
      <c r="U153" s="1"/>
      <c r="V153" s="1"/>
    </row>
    <row r="154" spans="1:22" ht="12.75">
      <c r="A154" s="1" t="s">
        <v>99</v>
      </c>
      <c r="B154" s="1" t="s">
        <v>99</v>
      </c>
      <c r="C154" s="1" t="s">
        <v>99</v>
      </c>
      <c r="D154" s="1" t="s">
        <v>99</v>
      </c>
      <c r="E154" s="1" t="s">
        <v>99</v>
      </c>
      <c r="F154" s="1" t="s">
        <v>99</v>
      </c>
      <c r="G154" s="1" t="s">
        <v>99</v>
      </c>
      <c r="H154" s="1" t="s">
        <v>99</v>
      </c>
      <c r="I154" s="1" t="s">
        <v>99</v>
      </c>
      <c r="J154" s="1"/>
      <c r="K154" s="1" t="s">
        <v>99</v>
      </c>
      <c r="P154" s="1">
        <v>12</v>
      </c>
      <c r="Q154" s="1" t="s">
        <v>152</v>
      </c>
      <c r="R154" s="1" t="s">
        <v>99</v>
      </c>
      <c r="S154" s="1">
        <v>1.83</v>
      </c>
      <c r="T154" s="42"/>
      <c r="U154" s="1"/>
      <c r="V154" s="1"/>
    </row>
    <row r="155" spans="1:22" ht="12.75">
      <c r="A155" s="1" t="s">
        <v>99</v>
      </c>
      <c r="B155" s="1" t="s">
        <v>99</v>
      </c>
      <c r="C155" s="1" t="s">
        <v>99</v>
      </c>
      <c r="D155" s="1" t="s">
        <v>99</v>
      </c>
      <c r="E155" s="1" t="s">
        <v>99</v>
      </c>
      <c r="F155" s="1" t="s">
        <v>99</v>
      </c>
      <c r="G155" s="1" t="s">
        <v>99</v>
      </c>
      <c r="H155" s="1" t="s">
        <v>99</v>
      </c>
      <c r="I155" s="1" t="s">
        <v>99</v>
      </c>
      <c r="J155" s="1"/>
      <c r="K155" s="1" t="s">
        <v>99</v>
      </c>
      <c r="P155" s="1">
        <v>13</v>
      </c>
      <c r="Q155" s="1" t="s">
        <v>153</v>
      </c>
      <c r="R155" s="1" t="s">
        <v>99</v>
      </c>
      <c r="S155" s="1">
        <v>1.19</v>
      </c>
      <c r="T155" s="42"/>
      <c r="U155" s="1"/>
      <c r="V155" s="1"/>
    </row>
    <row r="156" spans="1:22" ht="12.75">
      <c r="A156" s="1" t="s">
        <v>99</v>
      </c>
      <c r="B156" s="1" t="s">
        <v>99</v>
      </c>
      <c r="C156" s="1" t="s">
        <v>99</v>
      </c>
      <c r="D156" s="1" t="s">
        <v>99</v>
      </c>
      <c r="E156" s="1" t="s">
        <v>99</v>
      </c>
      <c r="F156" s="1" t="s">
        <v>99</v>
      </c>
      <c r="G156" s="1" t="s">
        <v>99</v>
      </c>
      <c r="H156" s="1" t="s">
        <v>99</v>
      </c>
      <c r="I156" s="1" t="s">
        <v>99</v>
      </c>
      <c r="J156" s="1"/>
      <c r="K156" s="1" t="s">
        <v>99</v>
      </c>
      <c r="P156" s="1">
        <v>14</v>
      </c>
      <c r="Q156" s="1" t="s">
        <v>154</v>
      </c>
      <c r="R156" s="1" t="s">
        <v>99</v>
      </c>
      <c r="S156" s="1">
        <v>1.27</v>
      </c>
      <c r="T156" s="42"/>
      <c r="U156" s="1"/>
      <c r="V156" s="1"/>
    </row>
    <row r="157" spans="1:22" ht="12.75">
      <c r="A157" s="1" t="s">
        <v>99</v>
      </c>
      <c r="B157" s="1" t="s">
        <v>99</v>
      </c>
      <c r="C157" s="1" t="s">
        <v>99</v>
      </c>
      <c r="D157" s="1" t="s">
        <v>99</v>
      </c>
      <c r="E157" s="1" t="s">
        <v>99</v>
      </c>
      <c r="F157" s="1" t="s">
        <v>99</v>
      </c>
      <c r="G157" s="1" t="s">
        <v>99</v>
      </c>
      <c r="H157" s="1" t="s">
        <v>99</v>
      </c>
      <c r="I157" s="1" t="s">
        <v>99</v>
      </c>
      <c r="J157" s="1"/>
      <c r="K157" s="1" t="s">
        <v>99</v>
      </c>
      <c r="P157" s="1">
        <v>15</v>
      </c>
      <c r="Q157" s="1" t="s">
        <v>155</v>
      </c>
      <c r="R157" s="1" t="s">
        <v>99</v>
      </c>
      <c r="S157" s="1">
        <v>1.24</v>
      </c>
      <c r="T157" s="42"/>
      <c r="U157" s="1"/>
      <c r="V157" s="1"/>
    </row>
    <row r="158" spans="1:22" ht="12.75">
      <c r="A158" s="1" t="s">
        <v>99</v>
      </c>
      <c r="B158" s="1" t="s">
        <v>99</v>
      </c>
      <c r="C158" s="1" t="s">
        <v>99</v>
      </c>
      <c r="D158" s="1" t="s">
        <v>99</v>
      </c>
      <c r="E158" s="1" t="s">
        <v>99</v>
      </c>
      <c r="F158" s="1" t="s">
        <v>99</v>
      </c>
      <c r="G158" s="1" t="s">
        <v>99</v>
      </c>
      <c r="H158" s="1" t="s">
        <v>99</v>
      </c>
      <c r="I158" s="1" t="s">
        <v>99</v>
      </c>
      <c r="J158" s="1"/>
      <c r="K158" s="1" t="s">
        <v>99</v>
      </c>
      <c r="P158" s="1">
        <v>16</v>
      </c>
      <c r="Q158" s="1" t="s">
        <v>156</v>
      </c>
      <c r="R158" s="1" t="s">
        <v>99</v>
      </c>
      <c r="S158" s="1">
        <v>1.5</v>
      </c>
      <c r="T158" s="42"/>
      <c r="U158" s="1"/>
      <c r="V158" s="1"/>
    </row>
    <row r="159" spans="1:22" ht="12.75">
      <c r="A159" s="1" t="s">
        <v>99</v>
      </c>
      <c r="B159" s="1" t="s">
        <v>99</v>
      </c>
      <c r="C159" s="1" t="s">
        <v>99</v>
      </c>
      <c r="D159" s="1" t="s">
        <v>99</v>
      </c>
      <c r="E159" s="1" t="s">
        <v>99</v>
      </c>
      <c r="F159" s="1" t="s">
        <v>99</v>
      </c>
      <c r="G159" s="1" t="s">
        <v>99</v>
      </c>
      <c r="H159" s="1" t="s">
        <v>99</v>
      </c>
      <c r="I159" s="1" t="s">
        <v>99</v>
      </c>
      <c r="J159" s="1"/>
      <c r="K159" s="1" t="s">
        <v>99</v>
      </c>
      <c r="P159" s="1">
        <v>17</v>
      </c>
      <c r="Q159" s="1" t="s">
        <v>157</v>
      </c>
      <c r="R159" s="1" t="s">
        <v>99</v>
      </c>
      <c r="S159" s="1">
        <v>1.83</v>
      </c>
      <c r="T159" s="42"/>
      <c r="U159" s="1"/>
      <c r="V159" s="1"/>
    </row>
    <row r="160" spans="1:22" ht="12.75">
      <c r="A160" s="1" t="s">
        <v>99</v>
      </c>
      <c r="B160" s="1" t="s">
        <v>99</v>
      </c>
      <c r="C160" s="1" t="s">
        <v>99</v>
      </c>
      <c r="D160" s="1" t="s">
        <v>99</v>
      </c>
      <c r="E160" s="1" t="s">
        <v>99</v>
      </c>
      <c r="F160" s="1" t="s">
        <v>99</v>
      </c>
      <c r="G160" s="1" t="s">
        <v>99</v>
      </c>
      <c r="H160" s="1" t="s">
        <v>99</v>
      </c>
      <c r="I160" s="1" t="s">
        <v>99</v>
      </c>
      <c r="J160" s="1"/>
      <c r="K160" s="1" t="s">
        <v>99</v>
      </c>
      <c r="P160" s="1">
        <v>18</v>
      </c>
      <c r="Q160" s="1" t="s">
        <v>99</v>
      </c>
      <c r="R160" s="1" t="s">
        <v>99</v>
      </c>
      <c r="S160" s="1" t="s">
        <v>99</v>
      </c>
      <c r="T160" s="42"/>
      <c r="U160" s="1"/>
      <c r="V160" s="1"/>
    </row>
    <row r="161" spans="16:22" ht="12.75">
      <c r="P161" s="1">
        <v>19</v>
      </c>
      <c r="Q161" s="1" t="s">
        <v>99</v>
      </c>
      <c r="R161" s="1" t="s">
        <v>99</v>
      </c>
      <c r="S161" s="1" t="s">
        <v>99</v>
      </c>
      <c r="T161" s="42"/>
      <c r="U161" s="1"/>
      <c r="V161" s="1"/>
    </row>
    <row r="162" spans="16:22" ht="12.75">
      <c r="P162" s="1">
        <v>20</v>
      </c>
      <c r="Q162" s="1" t="s">
        <v>99</v>
      </c>
      <c r="R162" s="1" t="s">
        <v>99</v>
      </c>
      <c r="S162" s="1" t="s">
        <v>99</v>
      </c>
      <c r="T162" s="1"/>
      <c r="U162" s="1"/>
      <c r="V162" s="1"/>
    </row>
    <row r="163" spans="16:22" ht="12.75">
      <c r="P163" s="1">
        <v>21</v>
      </c>
      <c r="Q163" s="1" t="s">
        <v>99</v>
      </c>
      <c r="R163" s="1" t="s">
        <v>99</v>
      </c>
      <c r="S163" s="1" t="s">
        <v>99</v>
      </c>
      <c r="T163" s="1"/>
      <c r="U163" s="1"/>
      <c r="V163" s="1"/>
    </row>
    <row r="164" spans="16:22" ht="12.75">
      <c r="P164" s="1">
        <v>22</v>
      </c>
      <c r="Q164" s="1" t="s">
        <v>99</v>
      </c>
      <c r="R164" s="1" t="s">
        <v>99</v>
      </c>
      <c r="S164" s="1" t="s">
        <v>99</v>
      </c>
      <c r="T164" s="1"/>
      <c r="U164" s="1"/>
      <c r="V164" s="1"/>
    </row>
    <row r="165" spans="16:22" ht="12.75">
      <c r="P165" s="1">
        <v>23</v>
      </c>
      <c r="Q165" s="1" t="s">
        <v>99</v>
      </c>
      <c r="R165" s="1" t="s">
        <v>99</v>
      </c>
      <c r="S165" s="1" t="s">
        <v>99</v>
      </c>
      <c r="T165" s="1"/>
      <c r="U165" s="1"/>
      <c r="V165" s="1"/>
    </row>
    <row r="166" spans="16:22" ht="12.75">
      <c r="P166" s="1">
        <v>24</v>
      </c>
      <c r="Q166" s="1" t="s">
        <v>99</v>
      </c>
      <c r="R166" s="1" t="s">
        <v>99</v>
      </c>
      <c r="S166" s="1" t="s">
        <v>99</v>
      </c>
      <c r="T166" s="1"/>
      <c r="U166" s="1"/>
      <c r="V166" s="1"/>
    </row>
    <row r="167" spans="16:22" ht="12.75">
      <c r="P167" s="1">
        <v>25</v>
      </c>
      <c r="Q167" s="1" t="s">
        <v>99</v>
      </c>
      <c r="R167" s="1" t="s">
        <v>99</v>
      </c>
      <c r="S167" s="1" t="s">
        <v>99</v>
      </c>
      <c r="T167" s="1"/>
      <c r="U167" s="1"/>
      <c r="V167" s="1"/>
    </row>
    <row r="168" spans="16:22" ht="12.75">
      <c r="P168" s="1">
        <v>26</v>
      </c>
      <c r="Q168" s="1" t="s">
        <v>99</v>
      </c>
      <c r="R168" s="1" t="s">
        <v>99</v>
      </c>
      <c r="S168" s="1" t="s">
        <v>99</v>
      </c>
      <c r="T168" s="1"/>
      <c r="U168" s="1"/>
      <c r="V168" s="1"/>
    </row>
    <row r="169" spans="16:22" ht="12.75">
      <c r="P169" s="1">
        <v>27</v>
      </c>
      <c r="Q169" s="1" t="s">
        <v>99</v>
      </c>
      <c r="R169" s="1" t="s">
        <v>99</v>
      </c>
      <c r="S169" s="1" t="s">
        <v>99</v>
      </c>
      <c r="T169" s="1"/>
      <c r="U169" s="1"/>
      <c r="V169" s="1"/>
    </row>
    <row r="170" spans="16:22" ht="12.75">
      <c r="P170" s="1">
        <v>28</v>
      </c>
      <c r="Q170" s="1" t="s">
        <v>99</v>
      </c>
      <c r="R170" s="1" t="s">
        <v>99</v>
      </c>
      <c r="S170" s="1" t="s">
        <v>99</v>
      </c>
      <c r="T170" s="1"/>
      <c r="U170" s="1"/>
      <c r="V170" s="1"/>
    </row>
    <row r="171" spans="16:22" ht="12.75">
      <c r="P171" s="1">
        <v>29</v>
      </c>
      <c r="Q171" s="1" t="s">
        <v>99</v>
      </c>
      <c r="R171" s="1" t="s">
        <v>99</v>
      </c>
      <c r="S171" s="1" t="s">
        <v>99</v>
      </c>
      <c r="T171" s="1"/>
      <c r="U171" s="1"/>
      <c r="V171" s="1"/>
    </row>
    <row r="172" spans="16:22" ht="12.75">
      <c r="P172" s="1">
        <v>30</v>
      </c>
      <c r="Q172" s="1" t="s">
        <v>99</v>
      </c>
      <c r="R172" s="1" t="s">
        <v>99</v>
      </c>
      <c r="S172" s="1" t="s">
        <v>99</v>
      </c>
      <c r="T172" s="1"/>
      <c r="U172" s="1"/>
      <c r="V172" s="1"/>
    </row>
    <row r="173" spans="16:22" ht="12.75">
      <c r="P173" s="1">
        <v>31</v>
      </c>
      <c r="Q173" s="1" t="s">
        <v>99</v>
      </c>
      <c r="R173" s="1" t="s">
        <v>99</v>
      </c>
      <c r="S173" s="1" t="s">
        <v>99</v>
      </c>
      <c r="T173" s="1"/>
      <c r="U173" s="1"/>
      <c r="V173" s="1"/>
    </row>
    <row r="174" spans="16:22" ht="12.75">
      <c r="P174" s="1">
        <v>32</v>
      </c>
      <c r="Q174" s="1" t="s">
        <v>99</v>
      </c>
      <c r="R174" s="1" t="s">
        <v>99</v>
      </c>
      <c r="S174" s="1" t="s">
        <v>99</v>
      </c>
      <c r="T174" s="1"/>
      <c r="U174" s="1"/>
      <c r="V174" s="1"/>
    </row>
    <row r="175" spans="16:22" ht="12.75">
      <c r="P175" s="1">
        <v>33</v>
      </c>
      <c r="Q175" s="1" t="s">
        <v>99</v>
      </c>
      <c r="R175" s="1" t="s">
        <v>99</v>
      </c>
      <c r="S175" s="1" t="s">
        <v>99</v>
      </c>
      <c r="T175" s="1"/>
      <c r="U175" s="1"/>
      <c r="V175" s="1"/>
    </row>
    <row r="176" spans="16:22" ht="12.75">
      <c r="P176" s="1">
        <v>34</v>
      </c>
      <c r="Q176" s="1" t="s">
        <v>99</v>
      </c>
      <c r="R176" s="1" t="s">
        <v>99</v>
      </c>
      <c r="S176" s="1" t="s">
        <v>99</v>
      </c>
      <c r="T176" s="1"/>
      <c r="U176" s="1"/>
      <c r="V176" s="1"/>
    </row>
    <row r="177" spans="16:22" ht="12.75">
      <c r="P177" s="1">
        <v>35</v>
      </c>
      <c r="Q177" s="1" t="s">
        <v>99</v>
      </c>
      <c r="R177" s="1" t="s">
        <v>99</v>
      </c>
      <c r="S177" s="1" t="s">
        <v>99</v>
      </c>
      <c r="T177" s="1"/>
      <c r="U177" s="1"/>
      <c r="V177" s="1"/>
    </row>
  </sheetData>
  <mergeCells count="12">
    <mergeCell ref="A3:G3"/>
    <mergeCell ref="H1:AB1"/>
    <mergeCell ref="A140:K140"/>
    <mergeCell ref="C121:F121"/>
    <mergeCell ref="A99:H99"/>
    <mergeCell ref="L57:O57"/>
    <mergeCell ref="L51:O51"/>
    <mergeCell ref="K99:Q99"/>
    <mergeCell ref="K2:V2"/>
    <mergeCell ref="S3:V3"/>
    <mergeCell ref="O3:R3"/>
    <mergeCell ref="K3:N3"/>
  </mergeCells>
  <conditionalFormatting sqref="D129">
    <cfRule type="cellIs" priority="1" dxfId="0" operator="greaterThan" stopIfTrue="1">
      <formula>0.3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Ritepro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CheckSize Check Valve Sizing Spreadsheet</dc:title>
  <dc:subject>Check Valve Sizing</dc:subject>
  <dc:creator>Serge Trudel</dc:creator>
  <cp:keywords/>
  <dc:description/>
  <cp:lastModifiedBy>Serge Trudel</cp:lastModifiedBy>
  <cp:lastPrinted>2006-01-30T20:12:51Z</cp:lastPrinted>
  <dcterms:created xsi:type="dcterms:W3CDTF">1996-10-14T23:33:28Z</dcterms:created>
  <dcterms:modified xsi:type="dcterms:W3CDTF">2007-08-02T14:58:49Z</dcterms:modified>
  <cp:category/>
  <cp:version/>
  <cp:contentType/>
  <cp:contentStatus/>
</cp:coreProperties>
</file>